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19185" windowHeight="6435" activeTab="0"/>
  </bookViews>
  <sheets>
    <sheet name="Plan financier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<sst xmlns="http://schemas.openxmlformats.org/spreadsheetml/2006/main" count="51" uniqueCount="49">
  <si>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 xml:space="preserve"> </t>
  </si>
  <si>
    <t>Total CHF</t>
  </si>
  <si>
    <t>Total</t>
  </si>
  <si>
    <t>Re-Entry</t>
  </si>
  <si>
    <t>Desperado</t>
  </si>
  <si>
    <t>Recette final du tournoi :</t>
  </si>
  <si>
    <t>Turniername</t>
  </si>
  <si>
    <t>Datum</t>
  </si>
  <si>
    <t>Anzahl Turnierteilnehmer (vor dem Final)</t>
  </si>
  <si>
    <t>Teilnehmer die das Startgeld bezahlt haben in CHF</t>
  </si>
  <si>
    <t>Junioren die das Startgeld bezahlt haben in CHF</t>
  </si>
  <si>
    <t>Ermässigte Startgebühren</t>
  </si>
  <si>
    <t>Teilnehmer die das ermässigte Startgeld bezahlen in CHF</t>
  </si>
  <si>
    <t>Junioren die das ermässigte Startgeld bezahlen in CHF</t>
  </si>
  <si>
    <t>Subvention von CHF 30.- vom Swiss Bowling</t>
  </si>
  <si>
    <t>Sponsoren</t>
  </si>
  <si>
    <t>Einlagen</t>
  </si>
  <si>
    <t>Total der Einlagen</t>
  </si>
  <si>
    <t>Ausgaben</t>
  </si>
  <si>
    <t>Schiedsrichter Gebühr</t>
  </si>
  <si>
    <t>Organisations Ausgaben</t>
  </si>
  <si>
    <t>Reinvestierte Summe:</t>
  </si>
  <si>
    <t>Homologations Gebühr</t>
  </si>
  <si>
    <t>Spielpreis : CHF</t>
  </si>
  <si>
    <t>Anzahl Qualificatopnsspiele pro Spieler:</t>
  </si>
  <si>
    <t>Anzahl Spiele in der Finalphase :</t>
  </si>
  <si>
    <t>Total Ausgaben für Pokale</t>
  </si>
  <si>
    <t>Ausgaben für Mini teilnahme am Turnier</t>
  </si>
  <si>
    <t>Total Ausgaben</t>
  </si>
  <si>
    <t>Total Kreditor</t>
  </si>
  <si>
    <t>Reiseentschädigung nach Reglement</t>
  </si>
  <si>
    <t>Effektive Anzahl teilnehmender Spieler</t>
  </si>
  <si>
    <t>Anzahl Spieler vorm  Finale</t>
  </si>
  <si>
    <t>Mindestanzahl Spieler</t>
  </si>
  <si>
    <t>Reinvestierte</t>
  </si>
  <si>
    <t>Summe</t>
  </si>
  <si>
    <t>Total Preisgeld</t>
  </si>
  <si>
    <t>Summe Kreditor</t>
  </si>
  <si>
    <t>Reinvestirte Summe</t>
  </si>
  <si>
    <t>Differenz</t>
  </si>
  <si>
    <t>Neue Kreditor Summe</t>
  </si>
  <si>
    <t>Neue Total Preisgeld</t>
  </si>
  <si>
    <t>Total Preisgelder die verteilt wird (siehe Anhang)</t>
  </si>
  <si>
    <t>Erlaubte gewinn für die Organisator (CHF 8.--) pro Spieler</t>
  </si>
  <si>
    <t>Reinvestierte Summe vom erlaubten Gewinn des Organisators:</t>
  </si>
  <si>
    <t>85.4.1 - Turnier Finanzplan</t>
  </si>
  <si>
    <t>Reisegeld Entschädigung</t>
  </si>
  <si>
    <t>34. GP Zurich</t>
  </si>
  <si>
    <t>29. Mai 2011 - 5. Juni 2011</t>
  </si>
</sst>
</file>

<file path=xl/styles.xml><?xml version="1.0" encoding="utf-8"?>
<styleSheet xmlns="http://schemas.openxmlformats.org/spreadsheetml/2006/main">
  <numFmts count="4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SFr.&quot;#,##0_);\(&quot;SFr.&quot;#,##0\)"/>
    <numFmt numFmtId="177" formatCode="&quot;SFr.&quot;#,##0_);[Red]\(&quot;SFr.&quot;#,##0\)"/>
    <numFmt numFmtId="178" formatCode="&quot;SFr.&quot;#,##0.00_);\(&quot;SFr.&quot;#,##0.00\)"/>
    <numFmt numFmtId="179" formatCode="&quot;SFr.&quot;#,##0.00_);[Red]\(&quot;SFr.&quot;#,##0.00\)"/>
    <numFmt numFmtId="180" formatCode="_(&quot;SFr.&quot;* #,##0_);_(&quot;SFr.&quot;* \(#,##0\);_(&quot;SFr.&quot;* &quot;-&quot;_);_(@_)"/>
    <numFmt numFmtId="181" formatCode="_(* #,##0_);_(* \(#,##0\);_(* &quot;-&quot;_);_(@_)"/>
    <numFmt numFmtId="182" formatCode="_(&quot;SFr.&quot;* #,##0.00_);_(&quot;SFr.&quot;* \(#,##0.00\);_(&quot;SFr.&quot;* &quot;-&quot;??_);_(@_)"/>
    <numFmt numFmtId="183" formatCode="_(* #,##0.00_);_(* \(#,##0.00\);_(* &quot;-&quot;??_);_(@_)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.00\ &quot;F&quot;"/>
    <numFmt numFmtId="193" formatCode="[$SFr.-100C]\ #,##0.00"/>
    <numFmt numFmtId="194" formatCode="0.00_ ;[Red]\-0.00\ "/>
    <numFmt numFmtId="195" formatCode="0_ ;[Red]\-0\ "/>
    <numFmt numFmtId="196" formatCode="0.0%"/>
    <numFmt numFmtId="197" formatCode="[$-100C]dddd\,\ d\.\ mmmm\ yyyy"/>
    <numFmt numFmtId="198" formatCode="0%;[Red]\-0%"/>
    <numFmt numFmtId="199" formatCode="0;\-0;;@\ "/>
    <numFmt numFmtId="200" formatCode="0.00;\-0.00;;@\ "/>
    <numFmt numFmtId="201" formatCode="0.00;[Red]\-0.00;;@\ "/>
  </numFmts>
  <fonts count="53">
    <font>
      <sz val="10"/>
      <name val="Arial"/>
      <family val="0"/>
    </font>
    <font>
      <sz val="10"/>
      <name val="Times New Roman"/>
      <family val="1"/>
    </font>
    <font>
      <sz val="2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0"/>
      </left>
      <right>
        <color indexed="63"/>
      </right>
      <top style="dashed">
        <color indexed="1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12"/>
      </left>
      <right style="dashed">
        <color indexed="10"/>
      </right>
      <top style="dashed">
        <color indexed="12"/>
      </top>
      <bottom style="dashed">
        <color indexed="12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</border>
    <border>
      <left style="mediumDashed"/>
      <right style="mediumDashed"/>
      <top style="mediumDashed"/>
      <bottom style="mediumDashed"/>
    </border>
    <border>
      <left style="thin"/>
      <right style="thin"/>
      <top>
        <color indexed="63"/>
      </top>
      <bottom style="medium"/>
    </border>
    <border>
      <left style="dashed">
        <color indexed="10"/>
      </left>
      <right style="dashed">
        <color indexed="10"/>
      </right>
      <top style="dashed">
        <color indexed="10"/>
      </top>
      <bottom>
        <color indexed="63"/>
      </bottom>
    </border>
    <border>
      <left style="dashed">
        <color indexed="10"/>
      </left>
      <right style="dashed">
        <color indexed="10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 style="dashed">
        <color indexed="10"/>
      </top>
      <bottom style="dashed">
        <color indexed="10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hair"/>
      <bottom style="hair"/>
    </border>
    <border>
      <left style="dashed">
        <color indexed="12"/>
      </left>
      <right style="dashed">
        <color indexed="12"/>
      </right>
      <top>
        <color indexed="63"/>
      </top>
      <bottom style="dashed">
        <color indexed="12"/>
      </bottom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48"/>
      </bottom>
    </border>
    <border>
      <left style="dashed">
        <color indexed="13"/>
      </left>
      <right style="dashed">
        <color indexed="13"/>
      </right>
      <top style="dashed">
        <color indexed="13"/>
      </top>
      <bottom style="dashed">
        <color indexed="13"/>
      </bottom>
    </border>
    <border>
      <left>
        <color indexed="63"/>
      </left>
      <right style="medium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194" fontId="3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9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/>
    </xf>
    <xf numFmtId="194" fontId="1" fillId="0" borderId="0" xfId="0" applyNumberFormat="1" applyFont="1" applyAlignment="1" applyProtection="1">
      <alignment horizontal="center" vertical="center"/>
      <protection/>
    </xf>
    <xf numFmtId="194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center"/>
      <protection/>
    </xf>
    <xf numFmtId="198" fontId="4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99" fontId="1" fillId="0" borderId="12" xfId="0" applyNumberFormat="1" applyFont="1" applyBorder="1" applyAlignment="1" applyProtection="1">
      <alignment horizontal="center"/>
      <protection locked="0"/>
    </xf>
    <xf numFmtId="199" fontId="1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99" fontId="1" fillId="0" borderId="0" xfId="0" applyNumberFormat="1" applyFont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19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center" vertical="center"/>
      <protection/>
    </xf>
    <xf numFmtId="194" fontId="4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194" fontId="13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9" fontId="1" fillId="0" borderId="0" xfId="0" applyNumberFormat="1" applyFont="1" applyAlignment="1" applyProtection="1">
      <alignment horizontal="right"/>
      <protection/>
    </xf>
    <xf numFmtId="194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19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98" fontId="4" fillId="0" borderId="0" xfId="0" applyNumberFormat="1" applyFont="1" applyAlignment="1" applyProtection="1">
      <alignment horizontal="center" vertical="top"/>
      <protection/>
    </xf>
    <xf numFmtId="194" fontId="13" fillId="0" borderId="14" xfId="0" applyNumberFormat="1" applyFont="1" applyBorder="1" applyAlignment="1" applyProtection="1">
      <alignment horizontal="center" vertical="center"/>
      <protection/>
    </xf>
    <xf numFmtId="194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horizontal="left" vertical="center"/>
      <protection/>
    </xf>
    <xf numFmtId="194" fontId="1" fillId="0" borderId="13" xfId="0" applyNumberFormat="1" applyFont="1" applyBorder="1" applyAlignment="1" applyProtection="1">
      <alignment horizontal="center" vertical="center"/>
      <protection locked="0"/>
    </xf>
    <xf numFmtId="194" fontId="1" fillId="0" borderId="16" xfId="0" applyNumberFormat="1" applyFont="1" applyBorder="1" applyAlignment="1" applyProtection="1">
      <alignment horizontal="center" vertical="center"/>
      <protection locked="0"/>
    </xf>
    <xf numFmtId="194" fontId="1" fillId="0" borderId="17" xfId="0" applyNumberFormat="1" applyFont="1" applyBorder="1" applyAlignment="1" applyProtection="1">
      <alignment horizontal="center" vertical="center"/>
      <protection locked="0"/>
    </xf>
    <xf numFmtId="194" fontId="1" fillId="0" borderId="19" xfId="0" applyNumberFormat="1" applyFont="1" applyBorder="1" applyAlignment="1" applyProtection="1">
      <alignment horizontal="center" vertical="center"/>
      <protection/>
    </xf>
    <xf numFmtId="194" fontId="1" fillId="0" borderId="20" xfId="0" applyNumberFormat="1" applyFont="1" applyBorder="1" applyAlignment="1" applyProtection="1">
      <alignment horizontal="center" vertical="center"/>
      <protection/>
    </xf>
    <xf numFmtId="194" fontId="1" fillId="0" borderId="21" xfId="0" applyNumberFormat="1" applyFont="1" applyBorder="1" applyAlignment="1" applyProtection="1">
      <alignment horizontal="center" vertical="center"/>
      <protection/>
    </xf>
    <xf numFmtId="194" fontId="1" fillId="0" borderId="22" xfId="0" applyNumberFormat="1" applyFont="1" applyBorder="1" applyAlignment="1" applyProtection="1">
      <alignment horizontal="center" vertical="center"/>
      <protection/>
    </xf>
    <xf numFmtId="194" fontId="4" fillId="0" borderId="23" xfId="0" applyNumberFormat="1" applyFont="1" applyBorder="1" applyAlignment="1" applyProtection="1">
      <alignment horizontal="center" vertical="center"/>
      <protection/>
    </xf>
    <xf numFmtId="194" fontId="4" fillId="0" borderId="0" xfId="0" applyNumberFormat="1" applyFont="1" applyBorder="1" applyAlignment="1" applyProtection="1">
      <alignment horizontal="center" vertical="center"/>
      <protection/>
    </xf>
    <xf numFmtId="194" fontId="14" fillId="0" borderId="0" xfId="0" applyNumberFormat="1" applyFont="1" applyAlignment="1" applyProtection="1">
      <alignment horizontal="center" vertical="center"/>
      <protection/>
    </xf>
    <xf numFmtId="201" fontId="1" fillId="0" borderId="2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194" fontId="1" fillId="0" borderId="0" xfId="0" applyNumberFormat="1" applyFont="1" applyBorder="1" applyAlignment="1" applyProtection="1">
      <alignment horizontal="center" vertical="center"/>
      <protection locked="0"/>
    </xf>
    <xf numFmtId="201" fontId="1" fillId="0" borderId="21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199" fontId="10" fillId="0" borderId="0" xfId="0" applyNumberFormat="1" applyFont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200" fontId="1" fillId="0" borderId="25" xfId="0" applyNumberFormat="1" applyFont="1" applyBorder="1" applyAlignment="1" applyProtection="1">
      <alignment horizontal="center" vertical="center"/>
      <protection/>
    </xf>
    <xf numFmtId="201" fontId="1" fillId="0" borderId="0" xfId="0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 applyProtection="1">
      <alignment horizontal="center"/>
      <protection/>
    </xf>
    <xf numFmtId="194" fontId="13" fillId="0" borderId="0" xfId="0" applyNumberFormat="1" applyFont="1" applyAlignment="1" applyProtection="1">
      <alignment horizontal="center" vertical="center"/>
      <protection/>
    </xf>
    <xf numFmtId="194" fontId="4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194" fontId="1" fillId="0" borderId="26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285750</xdr:colOff>
      <xdr:row>5</xdr:row>
      <xdr:rowOff>0</xdr:rowOff>
    </xdr:to>
    <xdr:pic>
      <xdr:nvPicPr>
        <xdr:cNvPr id="1" name="Picture 1" descr="S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0</xdr:row>
      <xdr:rowOff>0</xdr:rowOff>
    </xdr:from>
    <xdr:to>
      <xdr:col>11</xdr:col>
      <xdr:colOff>647700</xdr:colOff>
      <xdr:row>5</xdr:row>
      <xdr:rowOff>0</xdr:rowOff>
    </xdr:to>
    <xdr:pic>
      <xdr:nvPicPr>
        <xdr:cNvPr id="2" name="Picture 2" descr="S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0"/>
          <a:ext cx="1828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371475</xdr:colOff>
      <xdr:row>10</xdr:row>
      <xdr:rowOff>152400</xdr:rowOff>
    </xdr:from>
    <xdr:to>
      <xdr:col>20</xdr:col>
      <xdr:colOff>371475</xdr:colOff>
      <xdr:row>11</xdr:row>
      <xdr:rowOff>171450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10191750" y="2143125"/>
          <a:ext cx="2762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Prozentsatz(differenz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Summe Kreditor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14</xdr:col>
      <xdr:colOff>190500</xdr:colOff>
      <xdr:row>11</xdr:row>
      <xdr:rowOff>76200</xdr:rowOff>
    </xdr:from>
    <xdr:to>
      <xdr:col>16</xdr:col>
      <xdr:colOff>190500</xdr:colOff>
      <xdr:row>12</xdr:row>
      <xdr:rowOff>180975</xdr:rowOff>
    </xdr:to>
    <xdr:sp>
      <xdr:nvSpPr>
        <xdr:cNvPr id="4" name="Text Box 48"/>
        <xdr:cNvSpPr txBox="1">
          <a:spLocks noChangeArrowheads="1"/>
        </xdr:cNvSpPr>
      </xdr:nvSpPr>
      <xdr:spPr>
        <a:xfrm>
          <a:off x="9248775" y="2257425"/>
          <a:ext cx="762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Rang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T55"/>
  <sheetViews>
    <sheetView tabSelected="1" zoomScalePageLayoutView="0" workbookViewId="0" topLeftCell="A1">
      <selection activeCell="S14" sqref="S14:S41"/>
    </sheetView>
  </sheetViews>
  <sheetFormatPr defaultColWidth="11.421875" defaultRowHeight="12.75"/>
  <cols>
    <col min="1" max="1" width="4.7109375" style="7" customWidth="1"/>
    <col min="2" max="2" width="9.00390625" style="7" customWidth="1"/>
    <col min="3" max="3" width="13.421875" style="7" customWidth="1"/>
    <col min="4" max="5" width="11.421875" style="7" customWidth="1"/>
    <col min="6" max="6" width="8.28125" style="7" customWidth="1"/>
    <col min="7" max="7" width="11.421875" style="7" customWidth="1"/>
    <col min="8" max="8" width="7.421875" style="7" customWidth="1"/>
    <col min="9" max="9" width="15.7109375" style="6" customWidth="1"/>
    <col min="10" max="10" width="4.7109375" style="6" customWidth="1"/>
    <col min="11" max="11" width="13.140625" style="5" customWidth="1"/>
    <col min="12" max="12" width="13.140625" style="6" customWidth="1"/>
    <col min="13" max="14" width="6.00390625" style="7" customWidth="1"/>
    <col min="15" max="15" width="5.7109375" style="77" customWidth="1"/>
    <col min="16" max="17" width="5.7109375" style="7" customWidth="1"/>
    <col min="18" max="18" width="11.28125" style="5" customWidth="1"/>
    <col min="19" max="19" width="13.140625" style="6" customWidth="1"/>
    <col min="20" max="20" width="11.28125" style="5" customWidth="1"/>
    <col min="21" max="16384" width="11.421875" style="7" customWidth="1"/>
  </cols>
  <sheetData>
    <row r="6" spans="2:17" ht="33">
      <c r="B6" s="100" t="s">
        <v>45</v>
      </c>
      <c r="C6" s="100"/>
      <c r="D6" s="100"/>
      <c r="E6" s="100"/>
      <c r="F6" s="100"/>
      <c r="G6" s="100"/>
      <c r="H6" s="100"/>
      <c r="I6" s="100"/>
      <c r="J6" s="4"/>
      <c r="P6" s="8" t="s">
        <v>46</v>
      </c>
      <c r="Q6" s="8"/>
    </row>
    <row r="7" spans="13:17" ht="15" customHeight="1">
      <c r="M7" s="9"/>
      <c r="N7" s="9"/>
      <c r="O7" s="78"/>
      <c r="P7" s="9"/>
      <c r="Q7" s="9"/>
    </row>
    <row r="8" spans="2:20" s="11" customFormat="1" ht="15" customHeight="1">
      <c r="B8" s="10" t="s">
        <v>6</v>
      </c>
      <c r="D8" s="93" t="s">
        <v>47</v>
      </c>
      <c r="E8" s="13"/>
      <c r="F8" s="13"/>
      <c r="G8" s="13"/>
      <c r="H8" s="13"/>
      <c r="I8" s="14"/>
      <c r="J8" s="14"/>
      <c r="K8" s="1"/>
      <c r="L8" s="2" t="s">
        <v>30</v>
      </c>
      <c r="M8" s="7"/>
      <c r="N8" s="7"/>
      <c r="O8" s="77"/>
      <c r="P8" s="7"/>
      <c r="Q8" s="7"/>
      <c r="R8" s="5"/>
      <c r="S8" s="2" t="s">
        <v>31</v>
      </c>
      <c r="T8" s="1"/>
    </row>
    <row r="9" ht="15" customHeight="1"/>
    <row r="10" spans="2:20" s="11" customFormat="1" ht="15" customHeight="1">
      <c r="B10" s="10" t="s">
        <v>0</v>
      </c>
      <c r="C10" s="3" t="s">
        <v>7</v>
      </c>
      <c r="D10" s="12" t="s">
        <v>48</v>
      </c>
      <c r="E10" s="13"/>
      <c r="F10" s="13"/>
      <c r="I10" s="14"/>
      <c r="J10" s="14"/>
      <c r="K10" s="5"/>
      <c r="L10" s="6" t="s">
        <v>33</v>
      </c>
      <c r="M10" s="7"/>
      <c r="N10" s="7"/>
      <c r="O10" s="77"/>
      <c r="P10" s="7"/>
      <c r="Q10" s="7"/>
      <c r="R10" s="5"/>
      <c r="S10" s="6" t="s">
        <v>32</v>
      </c>
      <c r="T10" s="5"/>
    </row>
    <row r="11" spans="12:20" ht="15" customHeight="1">
      <c r="L11" s="54">
        <v>80</v>
      </c>
      <c r="R11" s="16"/>
      <c r="S11" s="54">
        <f>F14</f>
        <v>114</v>
      </c>
      <c r="T11" s="16"/>
    </row>
    <row r="12" spans="9:20" ht="15" customHeight="1">
      <c r="I12" s="15" t="s">
        <v>1</v>
      </c>
      <c r="J12" s="15"/>
      <c r="K12" s="5" t="s">
        <v>34</v>
      </c>
      <c r="M12" s="16"/>
      <c r="N12" s="16"/>
      <c r="O12" s="25"/>
      <c r="P12" s="25"/>
      <c r="Q12" s="25"/>
      <c r="R12" s="17"/>
      <c r="S12" s="18"/>
      <c r="T12" s="16"/>
    </row>
    <row r="13" spans="2:20" s="11" customFormat="1" ht="15" customHeight="1">
      <c r="B13" s="19" t="s">
        <v>16</v>
      </c>
      <c r="I13" s="14"/>
      <c r="J13" s="14"/>
      <c r="K13" s="1" t="s">
        <v>35</v>
      </c>
      <c r="L13" s="14"/>
      <c r="M13" s="20"/>
      <c r="N13" s="20"/>
      <c r="O13" s="79"/>
      <c r="R13" s="17">
        <f>IF(F14="",0,IF(I50="",0,IF(L47=0,0,IF(F14=80,0,(((I50-I23+I36)-L47)/L47)*100))))</f>
        <v>22.268370607028753</v>
      </c>
      <c r="S13" s="50">
        <f>IF(F14="",0,IF(I50="",0,IF(L47=0,"",IF(F14=80,0,((I50-I23+I36)-L47)/L47))))</f>
        <v>0.22268370607028753</v>
      </c>
      <c r="T13" s="38"/>
    </row>
    <row r="14" spans="2:20" s="11" customFormat="1" ht="15" customHeight="1">
      <c r="B14" s="58" t="s">
        <v>8</v>
      </c>
      <c r="F14" s="21">
        <f>IF(SUM(B15:B19)=0,"",SUM(B15:B19))</f>
        <v>114</v>
      </c>
      <c r="I14" s="22"/>
      <c r="J14" s="22"/>
      <c r="K14" s="23">
        <v>150</v>
      </c>
      <c r="L14" s="24">
        <v>980</v>
      </c>
      <c r="M14" s="17">
        <f aca="true" t="shared" si="0" ref="M14:M21">K14*R14</f>
        <v>150</v>
      </c>
      <c r="N14" s="17">
        <f>L14*R14</f>
        <v>980</v>
      </c>
      <c r="O14" s="96"/>
      <c r="P14" s="97">
        <v>1</v>
      </c>
      <c r="Q14" s="97"/>
      <c r="R14" s="38">
        <f aca="true" t="shared" si="1" ref="R14:R27">Q14-(O14-1)</f>
        <v>1</v>
      </c>
      <c r="S14" s="26">
        <f aca="true" t="shared" si="2" ref="S14:S45">IF($R$13=0,0,ROUNDUP($R$13*L14/100/100,1)*100)+L14+K14</f>
        <v>1350</v>
      </c>
      <c r="T14" s="85">
        <f aca="true" t="shared" si="3" ref="T14:T19">S14*R14</f>
        <v>1350</v>
      </c>
    </row>
    <row r="15" spans="2:20" s="11" customFormat="1" ht="15" customHeight="1">
      <c r="B15" s="27">
        <v>53</v>
      </c>
      <c r="C15" s="11" t="s">
        <v>9</v>
      </c>
      <c r="G15" s="61">
        <v>130</v>
      </c>
      <c r="I15" s="64">
        <f>IF(B15="","",B15*G15)</f>
        <v>6890</v>
      </c>
      <c r="J15" s="28"/>
      <c r="K15" s="23">
        <v>150</v>
      </c>
      <c r="L15" s="24">
        <v>780</v>
      </c>
      <c r="M15" s="17">
        <f t="shared" si="0"/>
        <v>150</v>
      </c>
      <c r="N15" s="17">
        <f aca="true" t="shared" si="4" ref="N15:N45">L15*R15</f>
        <v>780</v>
      </c>
      <c r="O15" s="96"/>
      <c r="P15" s="97">
        <v>2</v>
      </c>
      <c r="Q15" s="97"/>
      <c r="R15" s="38">
        <f t="shared" si="1"/>
        <v>1</v>
      </c>
      <c r="S15" s="26">
        <f t="shared" si="2"/>
        <v>1110</v>
      </c>
      <c r="T15" s="85">
        <f t="shared" si="3"/>
        <v>1110</v>
      </c>
    </row>
    <row r="16" spans="2:20" s="11" customFormat="1" ht="15" customHeight="1">
      <c r="B16" s="55">
        <v>12</v>
      </c>
      <c r="C16" s="11" t="s">
        <v>10</v>
      </c>
      <c r="G16" s="62">
        <v>100</v>
      </c>
      <c r="I16" s="65">
        <f>IF(B16="","",B16*G16)</f>
        <v>1200</v>
      </c>
      <c r="J16" s="28"/>
      <c r="K16" s="23">
        <v>150</v>
      </c>
      <c r="L16" s="24">
        <v>630</v>
      </c>
      <c r="M16" s="17">
        <f t="shared" si="0"/>
        <v>150</v>
      </c>
      <c r="N16" s="17">
        <f t="shared" si="4"/>
        <v>630</v>
      </c>
      <c r="O16" s="96"/>
      <c r="P16" s="97">
        <v>3</v>
      </c>
      <c r="Q16" s="97"/>
      <c r="R16" s="38">
        <f t="shared" si="1"/>
        <v>1</v>
      </c>
      <c r="S16" s="26">
        <f t="shared" si="2"/>
        <v>930</v>
      </c>
      <c r="T16" s="85">
        <f t="shared" si="3"/>
        <v>930</v>
      </c>
    </row>
    <row r="17" spans="2:20" s="11" customFormat="1" ht="15" customHeight="1">
      <c r="B17" s="60" t="s">
        <v>11</v>
      </c>
      <c r="C17" s="57"/>
      <c r="D17" s="32"/>
      <c r="E17" s="32"/>
      <c r="F17" s="32"/>
      <c r="G17" s="87"/>
      <c r="I17" s="66"/>
      <c r="J17" s="28"/>
      <c r="K17" s="23">
        <v>150</v>
      </c>
      <c r="L17" s="24">
        <v>530</v>
      </c>
      <c r="M17" s="17">
        <f t="shared" si="0"/>
        <v>150</v>
      </c>
      <c r="N17" s="17">
        <f t="shared" si="4"/>
        <v>530</v>
      </c>
      <c r="O17" s="96"/>
      <c r="P17" s="97">
        <v>4</v>
      </c>
      <c r="Q17" s="97"/>
      <c r="R17" s="38">
        <f t="shared" si="1"/>
        <v>1</v>
      </c>
      <c r="S17" s="26">
        <f t="shared" si="2"/>
        <v>800</v>
      </c>
      <c r="T17" s="85">
        <f t="shared" si="3"/>
        <v>800</v>
      </c>
    </row>
    <row r="18" spans="2:20" s="11" customFormat="1" ht="15" customHeight="1">
      <c r="B18" s="56">
        <v>49</v>
      </c>
      <c r="C18" s="11" t="s">
        <v>12</v>
      </c>
      <c r="G18" s="63">
        <v>116</v>
      </c>
      <c r="I18" s="65">
        <f>IF(B18="","",B18*G18)</f>
        <v>5684</v>
      </c>
      <c r="J18" s="28"/>
      <c r="K18" s="23">
        <v>140</v>
      </c>
      <c r="L18" s="24">
        <v>450</v>
      </c>
      <c r="M18" s="17">
        <f t="shared" si="0"/>
        <v>140</v>
      </c>
      <c r="N18" s="17">
        <f t="shared" si="4"/>
        <v>450</v>
      </c>
      <c r="O18" s="96"/>
      <c r="P18" s="97">
        <v>5</v>
      </c>
      <c r="Q18" s="97"/>
      <c r="R18" s="38">
        <f t="shared" si="1"/>
        <v>1</v>
      </c>
      <c r="S18" s="26">
        <f t="shared" si="2"/>
        <v>700</v>
      </c>
      <c r="T18" s="85">
        <f t="shared" si="3"/>
        <v>700</v>
      </c>
    </row>
    <row r="19" spans="2:20" s="11" customFormat="1" ht="15" customHeight="1">
      <c r="B19" s="27"/>
      <c r="C19" s="11" t="s">
        <v>13</v>
      </c>
      <c r="G19" s="61"/>
      <c r="I19" s="65">
        <f>IF(B19="","",B19*G19)</f>
      </c>
      <c r="J19" s="31"/>
      <c r="K19" s="23">
        <v>140</v>
      </c>
      <c r="L19" s="24">
        <v>370</v>
      </c>
      <c r="M19" s="17">
        <f t="shared" si="0"/>
        <v>140</v>
      </c>
      <c r="N19" s="17">
        <f t="shared" si="4"/>
        <v>370</v>
      </c>
      <c r="O19" s="96"/>
      <c r="P19" s="97">
        <v>6</v>
      </c>
      <c r="Q19" s="97"/>
      <c r="R19" s="38">
        <f t="shared" si="1"/>
        <v>1</v>
      </c>
      <c r="S19" s="26">
        <f t="shared" si="2"/>
        <v>600</v>
      </c>
      <c r="T19" s="85">
        <f t="shared" si="3"/>
        <v>600</v>
      </c>
    </row>
    <row r="20" spans="2:20" s="11" customFormat="1" ht="15" customHeight="1">
      <c r="B20" s="27"/>
      <c r="C20" s="11" t="s">
        <v>3</v>
      </c>
      <c r="G20" s="61"/>
      <c r="I20" s="65">
        <f>IF(B20="","",B20*G20)</f>
      </c>
      <c r="J20" s="28"/>
      <c r="K20" s="23">
        <v>140</v>
      </c>
      <c r="L20" s="24">
        <v>300</v>
      </c>
      <c r="M20" s="17">
        <f t="shared" si="0"/>
        <v>140</v>
      </c>
      <c r="N20" s="17">
        <f t="shared" si="4"/>
        <v>300</v>
      </c>
      <c r="O20" s="96"/>
      <c r="P20" s="97">
        <v>7</v>
      </c>
      <c r="Q20" s="97"/>
      <c r="R20" s="38">
        <f t="shared" si="1"/>
        <v>1</v>
      </c>
      <c r="S20" s="26">
        <f t="shared" si="2"/>
        <v>510</v>
      </c>
      <c r="T20" s="85">
        <f aca="true" t="shared" si="5" ref="T20:T45">S20*R20</f>
        <v>510</v>
      </c>
    </row>
    <row r="21" spans="2:20" s="11" customFormat="1" ht="15" customHeight="1">
      <c r="B21" s="29">
        <f>IF(B16+B19=0,"",B16+B19)</f>
        <v>12</v>
      </c>
      <c r="C21" s="11" t="s">
        <v>14</v>
      </c>
      <c r="I21" s="65">
        <f>IF(B21="","",B21*30)</f>
        <v>360</v>
      </c>
      <c r="J21" s="28"/>
      <c r="K21" s="23">
        <v>140</v>
      </c>
      <c r="L21" s="24">
        <v>220</v>
      </c>
      <c r="M21" s="17">
        <f t="shared" si="0"/>
        <v>140</v>
      </c>
      <c r="N21" s="17">
        <f t="shared" si="4"/>
        <v>220</v>
      </c>
      <c r="O21" s="96"/>
      <c r="P21" s="97">
        <v>8</v>
      </c>
      <c r="Q21" s="97"/>
      <c r="R21" s="38">
        <f t="shared" si="1"/>
        <v>1</v>
      </c>
      <c r="S21" s="26">
        <f t="shared" si="2"/>
        <v>410</v>
      </c>
      <c r="T21" s="85">
        <f t="shared" si="5"/>
        <v>410</v>
      </c>
    </row>
    <row r="22" spans="2:20" s="11" customFormat="1" ht="15" customHeight="1">
      <c r="B22" s="27"/>
      <c r="C22" s="11" t="s">
        <v>4</v>
      </c>
      <c r="G22" s="95"/>
      <c r="I22" s="65">
        <f>IF(B22="","",B22*G22)</f>
      </c>
      <c r="J22" s="35"/>
      <c r="K22" s="23">
        <v>130</v>
      </c>
      <c r="L22" s="24">
        <v>100</v>
      </c>
      <c r="M22" s="17">
        <f>K22*R22</f>
        <v>130</v>
      </c>
      <c r="N22" s="17">
        <f t="shared" si="4"/>
        <v>100</v>
      </c>
      <c r="O22" s="96"/>
      <c r="P22" s="97">
        <v>9</v>
      </c>
      <c r="Q22" s="97"/>
      <c r="R22" s="38">
        <f t="shared" si="1"/>
        <v>1</v>
      </c>
      <c r="S22" s="26">
        <f t="shared" si="2"/>
        <v>260</v>
      </c>
      <c r="T22" s="85">
        <f t="shared" si="5"/>
        <v>260</v>
      </c>
    </row>
    <row r="23" spans="2:20" s="11" customFormat="1" ht="15" customHeight="1">
      <c r="B23" s="73" t="s">
        <v>15</v>
      </c>
      <c r="E23" s="46"/>
      <c r="F23" s="30" t="s">
        <v>21</v>
      </c>
      <c r="G23" s="94">
        <v>1500</v>
      </c>
      <c r="I23" s="71">
        <f>IF(G23="",0,G23)</f>
        <v>1500</v>
      </c>
      <c r="J23" s="35"/>
      <c r="K23" s="23">
        <v>130</v>
      </c>
      <c r="L23" s="24">
        <v>100</v>
      </c>
      <c r="M23" s="17">
        <f aca="true" t="shared" si="6" ref="M23:M45">K23*R23</f>
        <v>130</v>
      </c>
      <c r="N23" s="17">
        <f t="shared" si="4"/>
        <v>100</v>
      </c>
      <c r="O23" s="96"/>
      <c r="P23" s="97">
        <v>10</v>
      </c>
      <c r="Q23" s="97"/>
      <c r="R23" s="38">
        <f t="shared" si="1"/>
        <v>1</v>
      </c>
      <c r="S23" s="26">
        <f t="shared" si="2"/>
        <v>260</v>
      </c>
      <c r="T23" s="85">
        <f t="shared" si="5"/>
        <v>260</v>
      </c>
    </row>
    <row r="24" spans="4:20" s="11" customFormat="1" ht="15" customHeight="1">
      <c r="D24" s="30"/>
      <c r="E24" s="29"/>
      <c r="F24" s="72"/>
      <c r="G24" s="74"/>
      <c r="I24" s="75">
        <f>IF(G24="",0,G24)</f>
        <v>0</v>
      </c>
      <c r="J24" s="22"/>
      <c r="K24" s="23">
        <v>130</v>
      </c>
      <c r="L24" s="24">
        <v>100</v>
      </c>
      <c r="M24" s="17">
        <f t="shared" si="6"/>
        <v>130</v>
      </c>
      <c r="N24" s="17">
        <f t="shared" si="4"/>
        <v>100</v>
      </c>
      <c r="O24" s="96"/>
      <c r="P24" s="97">
        <v>11</v>
      </c>
      <c r="Q24" s="97"/>
      <c r="R24" s="38">
        <f t="shared" si="1"/>
        <v>1</v>
      </c>
      <c r="S24" s="26">
        <f t="shared" si="2"/>
        <v>260</v>
      </c>
      <c r="T24" s="85">
        <f t="shared" si="5"/>
        <v>260</v>
      </c>
    </row>
    <row r="25" spans="2:20" s="11" customFormat="1" ht="15" customHeight="1" thickBot="1">
      <c r="B25" s="32"/>
      <c r="I25" s="67"/>
      <c r="J25" s="22"/>
      <c r="K25" s="23">
        <v>130</v>
      </c>
      <c r="L25" s="24">
        <v>100</v>
      </c>
      <c r="M25" s="17">
        <f t="shared" si="6"/>
        <v>130</v>
      </c>
      <c r="N25" s="17">
        <f t="shared" si="4"/>
        <v>100</v>
      </c>
      <c r="O25" s="96"/>
      <c r="P25" s="97">
        <v>12</v>
      </c>
      <c r="Q25" s="97"/>
      <c r="R25" s="38">
        <f t="shared" si="1"/>
        <v>1</v>
      </c>
      <c r="S25" s="26">
        <f t="shared" si="2"/>
        <v>260</v>
      </c>
      <c r="T25" s="85">
        <f t="shared" si="5"/>
        <v>260</v>
      </c>
    </row>
    <row r="26" spans="3:20" s="11" customFormat="1" ht="15" customHeight="1" thickBot="1">
      <c r="C26" s="59"/>
      <c r="G26" s="101" t="s">
        <v>17</v>
      </c>
      <c r="H26" s="102"/>
      <c r="I26" s="68">
        <f>IF(SUM(I15:I25)=0,"",SUM(I15:I25))</f>
        <v>15634</v>
      </c>
      <c r="J26" s="28"/>
      <c r="K26" s="23">
        <v>120</v>
      </c>
      <c r="L26" s="24">
        <v>100</v>
      </c>
      <c r="M26" s="17">
        <f t="shared" si="6"/>
        <v>120</v>
      </c>
      <c r="N26" s="17">
        <f t="shared" si="4"/>
        <v>100</v>
      </c>
      <c r="O26" s="96"/>
      <c r="P26" s="97">
        <v>13</v>
      </c>
      <c r="Q26" s="97"/>
      <c r="R26" s="38">
        <f t="shared" si="1"/>
        <v>1</v>
      </c>
      <c r="S26" s="26">
        <f t="shared" si="2"/>
        <v>250</v>
      </c>
      <c r="T26" s="85">
        <f t="shared" si="5"/>
        <v>250</v>
      </c>
    </row>
    <row r="27" spans="7:20" s="11" customFormat="1" ht="15" customHeight="1">
      <c r="G27" s="33"/>
      <c r="H27" s="34"/>
      <c r="I27" s="69"/>
      <c r="J27" s="28"/>
      <c r="K27" s="23">
        <v>120</v>
      </c>
      <c r="L27" s="24">
        <v>100</v>
      </c>
      <c r="M27" s="17">
        <f t="shared" si="6"/>
        <v>120</v>
      </c>
      <c r="N27" s="17">
        <f t="shared" si="4"/>
        <v>100</v>
      </c>
      <c r="O27" s="96"/>
      <c r="P27" s="97">
        <v>14</v>
      </c>
      <c r="Q27" s="97"/>
      <c r="R27" s="38">
        <f t="shared" si="1"/>
        <v>1</v>
      </c>
      <c r="S27" s="26">
        <f t="shared" si="2"/>
        <v>250</v>
      </c>
      <c r="T27" s="85">
        <f t="shared" si="5"/>
        <v>250</v>
      </c>
    </row>
    <row r="28" spans="9:20" s="11" customFormat="1" ht="15" customHeight="1">
      <c r="I28" s="14"/>
      <c r="J28" s="28"/>
      <c r="K28" s="23"/>
      <c r="L28" s="24">
        <v>100</v>
      </c>
      <c r="M28" s="17">
        <f t="shared" si="6"/>
        <v>0</v>
      </c>
      <c r="N28" s="17">
        <f t="shared" si="4"/>
        <v>100</v>
      </c>
      <c r="O28" s="96"/>
      <c r="P28" s="97">
        <v>15</v>
      </c>
      <c r="Q28" s="97"/>
      <c r="R28" s="38">
        <f aca="true" t="shared" si="7" ref="R28:R45">Q28-(O28-1)</f>
        <v>1</v>
      </c>
      <c r="S28" s="26">
        <f t="shared" si="2"/>
        <v>130</v>
      </c>
      <c r="T28" s="85">
        <f t="shared" si="5"/>
        <v>130</v>
      </c>
    </row>
    <row r="29" spans="2:20" s="11" customFormat="1" ht="15" customHeight="1">
      <c r="B29" s="19" t="s">
        <v>18</v>
      </c>
      <c r="I29" s="14"/>
      <c r="J29" s="28"/>
      <c r="K29" s="23"/>
      <c r="L29" s="24">
        <v>100</v>
      </c>
      <c r="M29" s="17">
        <f t="shared" si="6"/>
        <v>0</v>
      </c>
      <c r="N29" s="17">
        <f t="shared" si="4"/>
        <v>100</v>
      </c>
      <c r="O29" s="96"/>
      <c r="P29" s="97">
        <v>16</v>
      </c>
      <c r="Q29" s="97"/>
      <c r="R29" s="38">
        <f t="shared" si="7"/>
        <v>1</v>
      </c>
      <c r="S29" s="26">
        <f t="shared" si="2"/>
        <v>130</v>
      </c>
      <c r="T29" s="85">
        <f t="shared" si="5"/>
        <v>130</v>
      </c>
    </row>
    <row r="30" spans="2:20" s="11" customFormat="1" ht="15" customHeight="1">
      <c r="B30" s="11" t="s">
        <v>22</v>
      </c>
      <c r="E30" s="61">
        <v>400</v>
      </c>
      <c r="I30" s="64">
        <f>IF(E30="","",E30)</f>
        <v>400</v>
      </c>
      <c r="J30" s="28"/>
      <c r="K30" s="23"/>
      <c r="L30" s="24">
        <v>100</v>
      </c>
      <c r="M30" s="17">
        <f t="shared" si="6"/>
        <v>0</v>
      </c>
      <c r="N30" s="17">
        <f t="shared" si="4"/>
        <v>100</v>
      </c>
      <c r="O30" s="96"/>
      <c r="P30" s="97">
        <v>17</v>
      </c>
      <c r="Q30" s="97"/>
      <c r="R30" s="38">
        <f t="shared" si="7"/>
        <v>1</v>
      </c>
      <c r="S30" s="26">
        <f t="shared" si="2"/>
        <v>130</v>
      </c>
      <c r="T30" s="85">
        <f t="shared" si="5"/>
        <v>130</v>
      </c>
    </row>
    <row r="31" spans="2:20" s="11" customFormat="1" ht="15" customHeight="1">
      <c r="B31" s="11" t="s">
        <v>19</v>
      </c>
      <c r="D31" s="36"/>
      <c r="E31" s="61"/>
      <c r="I31" s="65">
        <f>IF(E31="","",E31)</f>
      </c>
      <c r="J31" s="28"/>
      <c r="K31" s="23"/>
      <c r="L31" s="24">
        <v>100</v>
      </c>
      <c r="M31" s="17">
        <f t="shared" si="6"/>
        <v>0</v>
      </c>
      <c r="N31" s="17">
        <f t="shared" si="4"/>
        <v>100</v>
      </c>
      <c r="O31" s="96"/>
      <c r="P31" s="97">
        <v>18</v>
      </c>
      <c r="Q31" s="97"/>
      <c r="R31" s="38">
        <f t="shared" si="7"/>
        <v>1</v>
      </c>
      <c r="S31" s="26">
        <f t="shared" si="2"/>
        <v>130</v>
      </c>
      <c r="T31" s="85">
        <f t="shared" si="5"/>
        <v>130</v>
      </c>
    </row>
    <row r="32" spans="2:20" s="11" customFormat="1" ht="15" customHeight="1">
      <c r="B32" s="11" t="s">
        <v>20</v>
      </c>
      <c r="I32" s="65">
        <f>IF(F14="","",100)</f>
        <v>100</v>
      </c>
      <c r="J32" s="28"/>
      <c r="K32" s="23"/>
      <c r="L32" s="24">
        <v>100</v>
      </c>
      <c r="M32" s="17">
        <f t="shared" si="6"/>
        <v>0</v>
      </c>
      <c r="N32" s="17">
        <f t="shared" si="4"/>
        <v>100</v>
      </c>
      <c r="O32" s="96"/>
      <c r="P32" s="97">
        <v>19</v>
      </c>
      <c r="Q32" s="97"/>
      <c r="R32" s="38">
        <f t="shared" si="7"/>
        <v>1</v>
      </c>
      <c r="S32" s="26">
        <f t="shared" si="2"/>
        <v>130</v>
      </c>
      <c r="T32" s="85">
        <f t="shared" si="5"/>
        <v>130</v>
      </c>
    </row>
    <row r="33" spans="9:20" s="11" customFormat="1" ht="15" customHeight="1">
      <c r="I33" s="67"/>
      <c r="J33" s="28"/>
      <c r="K33" s="23"/>
      <c r="L33" s="24">
        <v>100</v>
      </c>
      <c r="M33" s="17">
        <f t="shared" si="6"/>
        <v>0</v>
      </c>
      <c r="N33" s="17">
        <f t="shared" si="4"/>
        <v>100</v>
      </c>
      <c r="O33" s="96"/>
      <c r="P33" s="97">
        <v>20</v>
      </c>
      <c r="Q33" s="97"/>
      <c r="R33" s="38">
        <f t="shared" si="7"/>
        <v>1</v>
      </c>
      <c r="S33" s="26">
        <f t="shared" si="2"/>
        <v>130</v>
      </c>
      <c r="T33" s="85">
        <f t="shared" si="5"/>
        <v>130</v>
      </c>
    </row>
    <row r="34" spans="9:20" s="11" customFormat="1" ht="15" customHeight="1">
      <c r="I34" s="67"/>
      <c r="J34" s="28"/>
      <c r="K34" s="23"/>
      <c r="L34" s="24">
        <v>100</v>
      </c>
      <c r="M34" s="17">
        <f t="shared" si="6"/>
        <v>0</v>
      </c>
      <c r="N34" s="17">
        <f t="shared" si="4"/>
        <v>100</v>
      </c>
      <c r="O34" s="96"/>
      <c r="P34" s="97">
        <v>21</v>
      </c>
      <c r="Q34" s="97"/>
      <c r="R34" s="38">
        <f t="shared" si="7"/>
        <v>1</v>
      </c>
      <c r="S34" s="26">
        <f t="shared" si="2"/>
        <v>130</v>
      </c>
      <c r="T34" s="85">
        <f t="shared" si="5"/>
        <v>130</v>
      </c>
    </row>
    <row r="35" spans="2:20" s="11" customFormat="1" ht="15" customHeight="1">
      <c r="B35" s="11" t="s">
        <v>43</v>
      </c>
      <c r="I35" s="65">
        <f>IF(F14="","",F14*8)</f>
        <v>912</v>
      </c>
      <c r="J35" s="28"/>
      <c r="K35" s="23"/>
      <c r="L35" s="24">
        <v>100</v>
      </c>
      <c r="M35" s="17">
        <f t="shared" si="6"/>
        <v>0</v>
      </c>
      <c r="N35" s="17">
        <f t="shared" si="4"/>
        <v>100</v>
      </c>
      <c r="O35" s="96"/>
      <c r="P35" s="97">
        <v>22</v>
      </c>
      <c r="Q35" s="97"/>
      <c r="R35" s="38">
        <f t="shared" si="7"/>
        <v>1</v>
      </c>
      <c r="S35" s="26">
        <f t="shared" si="2"/>
        <v>130</v>
      </c>
      <c r="T35" s="85">
        <f t="shared" si="5"/>
        <v>130</v>
      </c>
    </row>
    <row r="36" spans="2:20" s="11" customFormat="1" ht="15" customHeight="1">
      <c r="B36" s="11" t="s">
        <v>44</v>
      </c>
      <c r="F36" s="72"/>
      <c r="G36" s="86">
        <v>420</v>
      </c>
      <c r="I36" s="88">
        <f>IF(G36="",0,-G36)</f>
        <v>-420</v>
      </c>
      <c r="J36" s="28"/>
      <c r="K36" s="23"/>
      <c r="L36" s="24">
        <v>100</v>
      </c>
      <c r="M36" s="17">
        <f t="shared" si="6"/>
        <v>0</v>
      </c>
      <c r="N36" s="17">
        <f t="shared" si="4"/>
        <v>100</v>
      </c>
      <c r="O36" s="96"/>
      <c r="P36" s="97">
        <v>23</v>
      </c>
      <c r="Q36" s="97"/>
      <c r="R36" s="38">
        <f t="shared" si="7"/>
        <v>1</v>
      </c>
      <c r="S36" s="26">
        <f t="shared" si="2"/>
        <v>130</v>
      </c>
      <c r="T36" s="85">
        <f t="shared" si="5"/>
        <v>130</v>
      </c>
    </row>
    <row r="37" spans="9:20" s="11" customFormat="1" ht="15" customHeight="1">
      <c r="I37" s="67"/>
      <c r="J37" s="28"/>
      <c r="K37" s="23"/>
      <c r="L37" s="24">
        <v>100</v>
      </c>
      <c r="M37" s="17">
        <f t="shared" si="6"/>
        <v>0</v>
      </c>
      <c r="N37" s="17">
        <f t="shared" si="4"/>
        <v>100</v>
      </c>
      <c r="O37" s="96"/>
      <c r="P37" s="97">
        <v>24</v>
      </c>
      <c r="Q37" s="97"/>
      <c r="R37" s="38">
        <f t="shared" si="7"/>
        <v>1</v>
      </c>
      <c r="S37" s="26">
        <f t="shared" si="2"/>
        <v>130</v>
      </c>
      <c r="T37" s="85">
        <f t="shared" si="5"/>
        <v>130</v>
      </c>
    </row>
    <row r="38" spans="2:20" s="11" customFormat="1" ht="15" customHeight="1">
      <c r="B38" s="11" t="s">
        <v>23</v>
      </c>
      <c r="D38" s="61">
        <v>4</v>
      </c>
      <c r="I38" s="67"/>
      <c r="J38" s="28"/>
      <c r="K38" s="23"/>
      <c r="L38" s="24">
        <v>100</v>
      </c>
      <c r="M38" s="17">
        <f t="shared" si="6"/>
        <v>0</v>
      </c>
      <c r="N38" s="17">
        <f t="shared" si="4"/>
        <v>100</v>
      </c>
      <c r="O38" s="96"/>
      <c r="P38" s="97">
        <v>25</v>
      </c>
      <c r="Q38" s="97"/>
      <c r="R38" s="38">
        <f t="shared" si="7"/>
        <v>1</v>
      </c>
      <c r="S38" s="26">
        <f t="shared" si="2"/>
        <v>130</v>
      </c>
      <c r="T38" s="85">
        <f t="shared" si="5"/>
        <v>130</v>
      </c>
    </row>
    <row r="39" spans="2:20" s="11" customFormat="1" ht="15" customHeight="1">
      <c r="B39" s="11" t="s">
        <v>24</v>
      </c>
      <c r="E39" s="53">
        <v>8</v>
      </c>
      <c r="F39" s="37" t="s">
        <v>2</v>
      </c>
      <c r="G39" s="29">
        <f>IF(F14="","",(F14*E39)+(B20*E39)+(B22*1))</f>
        <v>912</v>
      </c>
      <c r="I39" s="65">
        <f>IF(G39="","",G39*D38)</f>
        <v>3648</v>
      </c>
      <c r="J39" s="28"/>
      <c r="K39" s="23"/>
      <c r="L39" s="24">
        <v>100</v>
      </c>
      <c r="M39" s="17">
        <f t="shared" si="6"/>
        <v>0</v>
      </c>
      <c r="N39" s="17">
        <f t="shared" si="4"/>
        <v>100</v>
      </c>
      <c r="O39" s="96"/>
      <c r="P39" s="97">
        <v>26</v>
      </c>
      <c r="Q39" s="97"/>
      <c r="R39" s="38">
        <f t="shared" si="7"/>
        <v>1</v>
      </c>
      <c r="S39" s="26">
        <f t="shared" si="2"/>
        <v>130</v>
      </c>
      <c r="T39" s="85">
        <f t="shared" si="5"/>
        <v>130</v>
      </c>
    </row>
    <row r="40" spans="2:20" s="11" customFormat="1" ht="15" customHeight="1">
      <c r="B40" s="11" t="s">
        <v>25</v>
      </c>
      <c r="E40" s="29"/>
      <c r="G40" s="53">
        <v>280</v>
      </c>
      <c r="I40" s="65">
        <f>IF(G40="","",D38*G40)</f>
        <v>1120</v>
      </c>
      <c r="J40" s="28"/>
      <c r="K40" s="23"/>
      <c r="L40" s="24">
        <v>100</v>
      </c>
      <c r="M40" s="17">
        <f t="shared" si="6"/>
        <v>0</v>
      </c>
      <c r="N40" s="17">
        <f t="shared" si="4"/>
        <v>100</v>
      </c>
      <c r="O40" s="96"/>
      <c r="P40" s="97">
        <v>27</v>
      </c>
      <c r="Q40" s="97"/>
      <c r="R40" s="38">
        <f t="shared" si="7"/>
        <v>1</v>
      </c>
      <c r="S40" s="26">
        <f t="shared" si="2"/>
        <v>130</v>
      </c>
      <c r="T40" s="85">
        <f t="shared" si="5"/>
        <v>130</v>
      </c>
    </row>
    <row r="41" spans="5:20" s="11" customFormat="1" ht="15" customHeight="1">
      <c r="E41" s="29"/>
      <c r="G41" s="29"/>
      <c r="I41" s="67"/>
      <c r="J41" s="28"/>
      <c r="K41" s="23"/>
      <c r="L41" s="24">
        <v>100</v>
      </c>
      <c r="M41" s="17">
        <f t="shared" si="6"/>
        <v>0</v>
      </c>
      <c r="N41" s="17">
        <f t="shared" si="4"/>
        <v>100</v>
      </c>
      <c r="O41" s="96"/>
      <c r="P41" s="97">
        <v>28</v>
      </c>
      <c r="Q41" s="97"/>
      <c r="R41" s="38">
        <f t="shared" si="7"/>
        <v>1</v>
      </c>
      <c r="S41" s="26">
        <f t="shared" si="2"/>
        <v>130</v>
      </c>
      <c r="T41" s="85">
        <f t="shared" si="5"/>
        <v>130</v>
      </c>
    </row>
    <row r="42" spans="9:20" s="11" customFormat="1" ht="15" customHeight="1">
      <c r="I42" s="67"/>
      <c r="J42" s="28"/>
      <c r="K42" s="23"/>
      <c r="L42" s="24"/>
      <c r="M42" s="17">
        <f t="shared" si="6"/>
        <v>0</v>
      </c>
      <c r="N42" s="17">
        <f t="shared" si="4"/>
        <v>0</v>
      </c>
      <c r="O42" s="96"/>
      <c r="P42" s="97"/>
      <c r="Q42" s="97"/>
      <c r="R42" s="38">
        <f t="shared" si="7"/>
        <v>1</v>
      </c>
      <c r="S42" s="26">
        <f t="shared" si="2"/>
        <v>0</v>
      </c>
      <c r="T42" s="85">
        <f t="shared" si="5"/>
        <v>0</v>
      </c>
    </row>
    <row r="43" spans="2:20" s="11" customFormat="1" ht="15" customHeight="1">
      <c r="B43" s="11" t="s">
        <v>26</v>
      </c>
      <c r="E43" s="61">
        <v>300</v>
      </c>
      <c r="I43" s="65">
        <f>IF(E43="","",E43)</f>
        <v>300</v>
      </c>
      <c r="J43" s="35"/>
      <c r="K43" s="23"/>
      <c r="L43" s="24"/>
      <c r="M43" s="17">
        <f t="shared" si="6"/>
        <v>0</v>
      </c>
      <c r="N43" s="17">
        <f t="shared" si="4"/>
        <v>0</v>
      </c>
      <c r="O43" s="96"/>
      <c r="P43" s="97"/>
      <c r="Q43" s="97"/>
      <c r="R43" s="38">
        <f t="shared" si="7"/>
        <v>1</v>
      </c>
      <c r="S43" s="26">
        <f t="shared" si="2"/>
        <v>0</v>
      </c>
      <c r="T43" s="85">
        <f t="shared" si="5"/>
        <v>0</v>
      </c>
    </row>
    <row r="44" spans="2:20" s="11" customFormat="1" ht="15" customHeight="1">
      <c r="B44" s="11" t="s">
        <v>27</v>
      </c>
      <c r="E44" s="61"/>
      <c r="I44" s="65">
        <f>IF(E44="","",E44)</f>
      </c>
      <c r="J44" s="35"/>
      <c r="K44" s="23"/>
      <c r="L44" s="24"/>
      <c r="M44" s="17">
        <f t="shared" si="6"/>
        <v>0</v>
      </c>
      <c r="N44" s="17">
        <f t="shared" si="4"/>
        <v>0</v>
      </c>
      <c r="O44" s="96"/>
      <c r="P44" s="97"/>
      <c r="Q44" s="97"/>
      <c r="R44" s="38">
        <f t="shared" si="7"/>
        <v>1</v>
      </c>
      <c r="S44" s="26">
        <f t="shared" si="2"/>
        <v>0</v>
      </c>
      <c r="T44" s="85">
        <f t="shared" si="5"/>
        <v>0</v>
      </c>
    </row>
    <row r="45" spans="5:20" s="11" customFormat="1" ht="15" customHeight="1">
      <c r="E45" s="29"/>
      <c r="I45" s="67"/>
      <c r="J45" s="22"/>
      <c r="K45" s="23"/>
      <c r="L45" s="24"/>
      <c r="M45" s="17">
        <f t="shared" si="6"/>
        <v>0</v>
      </c>
      <c r="N45" s="17">
        <f t="shared" si="4"/>
        <v>0</v>
      </c>
      <c r="O45" s="96"/>
      <c r="P45" s="97"/>
      <c r="Q45" s="97"/>
      <c r="R45" s="38">
        <f t="shared" si="7"/>
        <v>1</v>
      </c>
      <c r="S45" s="26">
        <f t="shared" si="2"/>
        <v>0</v>
      </c>
      <c r="T45" s="85">
        <f t="shared" si="5"/>
        <v>0</v>
      </c>
    </row>
    <row r="46" spans="9:20" s="11" customFormat="1" ht="15" customHeight="1" thickBot="1">
      <c r="I46" s="52"/>
      <c r="J46" s="22"/>
      <c r="K46" s="22"/>
      <c r="L46" s="14"/>
      <c r="M46" s="38"/>
      <c r="N46" s="38"/>
      <c r="O46" s="76"/>
      <c r="P46" s="25"/>
      <c r="Q46" s="25"/>
      <c r="R46" s="1"/>
      <c r="S46" s="14"/>
      <c r="T46" s="1"/>
    </row>
    <row r="47" spans="7:20" s="11" customFormat="1" ht="15" customHeight="1" thickBot="1">
      <c r="G47" s="101" t="s">
        <v>28</v>
      </c>
      <c r="H47" s="102"/>
      <c r="I47" s="68">
        <f>IF(SUM(I30:I44)=0,"",SUM(I30:I44))</f>
        <v>6060</v>
      </c>
      <c r="J47" s="35"/>
      <c r="K47" s="37" t="s">
        <v>36</v>
      </c>
      <c r="L47" s="90">
        <f>IF(N14="",0,SUM(N14:N45))</f>
        <v>6260</v>
      </c>
      <c r="O47" s="79"/>
      <c r="P47" s="25"/>
      <c r="Q47" s="25"/>
      <c r="R47" s="82" t="s">
        <v>41</v>
      </c>
      <c r="S47" s="39">
        <f>SUM(T14:T45)</f>
        <v>9770</v>
      </c>
      <c r="T47" s="1"/>
    </row>
    <row r="48" spans="7:20" s="11" customFormat="1" ht="15" customHeight="1">
      <c r="G48" s="33"/>
      <c r="H48" s="34"/>
      <c r="I48" s="69"/>
      <c r="J48" s="22"/>
      <c r="K48" s="1"/>
      <c r="L48" s="14"/>
      <c r="O48" s="79"/>
      <c r="P48" s="25"/>
      <c r="Q48" s="25"/>
      <c r="R48" s="1"/>
      <c r="S48" s="14"/>
      <c r="T48" s="1"/>
    </row>
    <row r="49" spans="2:20" s="42" customFormat="1" ht="15" customHeight="1" thickBot="1">
      <c r="B49" s="11"/>
      <c r="C49" s="11"/>
      <c r="D49" s="11"/>
      <c r="E49" s="11"/>
      <c r="F49" s="11"/>
      <c r="G49" s="11"/>
      <c r="H49" s="11"/>
      <c r="I49" s="14"/>
      <c r="J49" s="41"/>
      <c r="K49" s="30" t="s">
        <v>37</v>
      </c>
      <c r="L49" s="90">
        <f>IF(I50="",0,I50)</f>
        <v>9574</v>
      </c>
      <c r="P49" s="25"/>
      <c r="Q49" s="25"/>
      <c r="R49" s="81" t="s">
        <v>40</v>
      </c>
      <c r="S49" s="90">
        <f>IF(I50="",0,I50)</f>
        <v>9574</v>
      </c>
      <c r="T49" s="40"/>
    </row>
    <row r="50" spans="2:20" s="42" customFormat="1" ht="15" customHeight="1" thickBot="1">
      <c r="B50" s="11"/>
      <c r="C50" s="11"/>
      <c r="D50" s="11"/>
      <c r="E50" s="11"/>
      <c r="F50" s="11"/>
      <c r="G50" s="103" t="s">
        <v>29</v>
      </c>
      <c r="H50" s="103"/>
      <c r="I50" s="68">
        <f>IF(I26="","",I26-I47)</f>
        <v>9574</v>
      </c>
      <c r="J50" s="43"/>
      <c r="K50" s="44" t="s">
        <v>38</v>
      </c>
      <c r="L50" s="70">
        <f>IF(SUM(M14:M45)=0,"",SUM(M14:M45))</f>
        <v>1920</v>
      </c>
      <c r="P50" s="25"/>
      <c r="Q50" s="25"/>
      <c r="R50" s="83" t="s">
        <v>35</v>
      </c>
      <c r="S50" s="91">
        <f>IF(S47="",0,IF(S49=0,0,S49-S47))</f>
        <v>-196</v>
      </c>
      <c r="T50" s="40"/>
    </row>
    <row r="51" spans="9:20" s="11" customFormat="1" ht="15" customHeight="1" thickBot="1">
      <c r="I51" s="14"/>
      <c r="J51" s="46"/>
      <c r="K51" s="37" t="s">
        <v>39</v>
      </c>
      <c r="L51" s="89">
        <f>IF(L49="","",IF(L47="","",L49-L47-I23+I36))</f>
        <v>1394</v>
      </c>
      <c r="O51" s="79"/>
      <c r="P51" s="25"/>
      <c r="Q51" s="25"/>
      <c r="R51" s="1"/>
      <c r="S51" s="14"/>
      <c r="T51" s="1"/>
    </row>
    <row r="52" spans="2:20" s="47" customFormat="1" ht="12.75" customHeight="1" thickBot="1">
      <c r="B52" s="98" t="s">
        <v>42</v>
      </c>
      <c r="C52" s="98"/>
      <c r="D52" s="98"/>
      <c r="E52" s="98"/>
      <c r="F52" s="98"/>
      <c r="G52" s="98"/>
      <c r="H52" s="99"/>
      <c r="I52" s="51">
        <f>S47</f>
        <v>9770</v>
      </c>
      <c r="J52" s="48"/>
      <c r="K52" s="45" t="s">
        <v>35</v>
      </c>
      <c r="L52" s="91">
        <f>IF(L47="",0,IF(L49=0,0,(L49-L47-L51-I23+I36)+S50))</f>
        <v>-196</v>
      </c>
      <c r="O52" s="80"/>
      <c r="P52" s="25"/>
      <c r="Q52" s="25"/>
      <c r="R52" s="84" t="s">
        <v>5</v>
      </c>
      <c r="S52" s="92">
        <f>IF(F14="",0,IF(L47="",I50,I35+I36+S50))</f>
        <v>296</v>
      </c>
      <c r="T52" s="49"/>
    </row>
    <row r="53" spans="2:17" ht="12.75" customHeight="1">
      <c r="B53" s="40"/>
      <c r="C53" s="40"/>
      <c r="D53" s="40"/>
      <c r="E53" s="40"/>
      <c r="F53" s="40"/>
      <c r="G53" s="40"/>
      <c r="H53" s="40"/>
      <c r="I53" s="43"/>
      <c r="P53" s="25"/>
      <c r="Q53" s="25"/>
    </row>
    <row r="54" spans="2:9" ht="12.75" customHeight="1">
      <c r="B54" s="32"/>
      <c r="C54" s="32"/>
      <c r="D54" s="32"/>
      <c r="E54" s="32"/>
      <c r="F54" s="32"/>
      <c r="G54" s="32"/>
      <c r="H54" s="32"/>
      <c r="I54" s="46"/>
    </row>
    <row r="55" spans="2:9" ht="12.75" customHeight="1">
      <c r="B55" s="47"/>
      <c r="C55" s="47"/>
      <c r="D55" s="47"/>
      <c r="E55" s="47"/>
      <c r="F55" s="47"/>
      <c r="G55" s="47"/>
      <c r="H55" s="47"/>
      <c r="I55" s="48"/>
    </row>
    <row r="56" ht="12.75" customHeight="1"/>
    <row r="57" ht="12.75" customHeight="1"/>
    <row r="58" ht="12.75" customHeight="1"/>
    <row r="59" ht="12.75" customHeight="1"/>
  </sheetData>
  <sheetProtection password="EB50" sheet="1" objects="1" scenarios="1"/>
  <mergeCells count="5">
    <mergeCell ref="B52:H52"/>
    <mergeCell ref="B6:I6"/>
    <mergeCell ref="G26:H26"/>
    <mergeCell ref="G47:H47"/>
    <mergeCell ref="G50:H50"/>
  </mergeCells>
  <conditionalFormatting sqref="I52 J49">
    <cfRule type="cellIs" priority="1" dxfId="0" operator="greaterThan" stopIfTrue="1">
      <formula>$I$50</formula>
    </cfRule>
  </conditionalFormatting>
  <conditionalFormatting sqref="S12:S13">
    <cfRule type="expression" priority="2" dxfId="0" stopIfTrue="1">
      <formula>"SI=-"</formula>
    </cfRule>
  </conditionalFormatting>
  <printOptions/>
  <pageMargins left="0.3937007874015748" right="0.3937007874015748" top="0.1968503937007874" bottom="0" header="0.11811023622047245" footer="0.11811023622047245"/>
  <pageSetup horizontalDpi="600" verticalDpi="600" orientation="portrait" pageOrder="overThenDown" paperSize="9" scale="89" r:id="rId2"/>
  <headerFooter alignWithMargins="0">
    <oddFooter>&amp;L&amp;"Times New Roman,Normal"&amp;9Ref.85.4.1 Plan financier all&amp;C&amp;"Times New Roman,Normal"&amp;9 20-01-2008&amp;R&amp;"Times New Roman,Normal"&amp;9&amp;P sur &amp;N</oddFooter>
  </headerFooter>
  <colBreaks count="1" manualBreakCount="1">
    <brk id="9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SEL_0229</dc:creator>
  <cp:keywords/>
  <dc:description/>
  <cp:lastModifiedBy>BG</cp:lastModifiedBy>
  <cp:lastPrinted>2008-02-13T09:21:57Z</cp:lastPrinted>
  <dcterms:created xsi:type="dcterms:W3CDTF">2003-03-20T08:24:57Z</dcterms:created>
  <dcterms:modified xsi:type="dcterms:W3CDTF">2011-06-04T17:24:18Z</dcterms:modified>
  <cp:category/>
  <cp:version/>
  <cp:contentType/>
  <cp:contentStatus/>
</cp:coreProperties>
</file>