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activeTab="0"/>
  </bookViews>
  <sheets>
    <sheet name="SBV-Rangliste" sheetId="1" r:id="rId1"/>
    <sheet name="Namen" sheetId="2" state="hidden" r:id="rId2"/>
    <sheet name="Quali" sheetId="3" r:id="rId3"/>
    <sheet name="Zwischenrunde 16" sheetId="4" r:id="rId4"/>
    <sheet name="Petersen-Rangliste" sheetId="5" r:id="rId5"/>
    <sheet name="nach Sektion" sheetId="6" r:id="rId6"/>
    <sheet name="Plan" sheetId="7" state="hidden" r:id="rId7"/>
    <sheet name="Spielblatt" sheetId="8" state="hidden" r:id="rId8"/>
    <sheet name="HCP-Rechnung" sheetId="9" state="hidden" r:id="rId9"/>
    <sheet name="Schreibzettel Petersen" sheetId="10" state="hidden" r:id="rId10"/>
  </sheets>
  <definedNames>
    <definedName name="_xlnm.Print_Area" localSheetId="5">'nach Sektion'!$A$1:$AD$113</definedName>
    <definedName name="_xlnm.Print_Area" localSheetId="4">'Petersen-Rangliste'!$A$1:$AA$19</definedName>
    <definedName name="_xlnm.Print_Area" localSheetId="6">'Plan'!$A$1:$N$33</definedName>
    <definedName name="_xlnm.Print_Area" localSheetId="2">'Quali'!$A$1:$S$113</definedName>
    <definedName name="_xlnm.Print_Area" localSheetId="0">'SBV-Rangliste'!$A$1:$AE$113</definedName>
    <definedName name="_xlnm.Print_Area" localSheetId="9">'Schreibzettel Petersen'!$A$1:$X$32</definedName>
    <definedName name="_xlnm.Print_Area" localSheetId="7">'Spielblatt'!$B$21:$N$243</definedName>
    <definedName name="_xlnm.Print_Area" localSheetId="3">'Zwischenrunde 16'!$A$1:$P$35</definedName>
    <definedName name="_xlnm.Print_Titles" localSheetId="5">'nach Sektion'!$1:$3</definedName>
    <definedName name="_xlnm.Print_Titles" localSheetId="2">'Quali'!$3:$3</definedName>
    <definedName name="_xlnm.Print_Titles" localSheetId="0">'SBV-Rangliste'!$1:$3</definedName>
  </definedNames>
  <calcPr fullCalcOnLoad="1"/>
</workbook>
</file>

<file path=xl/sharedStrings.xml><?xml version="1.0" encoding="utf-8"?>
<sst xmlns="http://schemas.openxmlformats.org/spreadsheetml/2006/main" count="1020" uniqueCount="189">
  <si>
    <t>Rang</t>
  </si>
  <si>
    <t>Namen</t>
  </si>
  <si>
    <t>Sek.</t>
  </si>
  <si>
    <t>HCP</t>
  </si>
  <si>
    <t>Jun.</t>
  </si>
  <si>
    <t>Spiel 1</t>
  </si>
  <si>
    <t>Spiel 2</t>
  </si>
  <si>
    <t>Spiel 3</t>
  </si>
  <si>
    <t>Spiel 4</t>
  </si>
  <si>
    <t>Spiel 5</t>
  </si>
  <si>
    <t>Spiel 6</t>
  </si>
  <si>
    <t>Total</t>
  </si>
  <si>
    <t>Schnitt</t>
  </si>
  <si>
    <t>Gesamt</t>
  </si>
  <si>
    <t>Bez.</t>
  </si>
  <si>
    <t>Sektion</t>
  </si>
  <si>
    <t>Hcp</t>
  </si>
  <si>
    <t>Junior</t>
  </si>
  <si>
    <t>Bahnen</t>
  </si>
  <si>
    <t>Spiel4</t>
  </si>
  <si>
    <t>Final</t>
  </si>
  <si>
    <t>Fotakis Soti</t>
  </si>
  <si>
    <t>Unternährer Peter</t>
  </si>
  <si>
    <t>Kuratli Walter</t>
  </si>
  <si>
    <t>Zelger Erich</t>
  </si>
  <si>
    <t>Kläger Christian</t>
  </si>
  <si>
    <t>PETERSEN-SPIELPLAN    FÜR    8</t>
  </si>
  <si>
    <t>Nr</t>
  </si>
  <si>
    <t>Code-Nr.</t>
  </si>
  <si>
    <t>Rd</t>
  </si>
  <si>
    <t>Bahn 1</t>
  </si>
  <si>
    <t>Bahn 2</t>
  </si>
  <si>
    <t>Bahn 3</t>
  </si>
  <si>
    <t>Bahn 4</t>
  </si>
  <si>
    <t>Bahn 5</t>
  </si>
  <si>
    <t>Bahn 6</t>
  </si>
  <si>
    <t>Bahn 7</t>
  </si>
  <si>
    <t>Bahn 8</t>
  </si>
  <si>
    <t>Team Nr.</t>
  </si>
  <si>
    <t>Hdc</t>
  </si>
  <si>
    <t>Total QR</t>
  </si>
  <si>
    <t>Runde</t>
  </si>
  <si>
    <t>Bahn</t>
  </si>
  <si>
    <t>Pins  Gegner</t>
  </si>
  <si>
    <t>Eigene Pins</t>
  </si>
  <si>
    <t>Petersen-Punkte</t>
  </si>
  <si>
    <t>Doppel-Total mit HC inkl.Petersen</t>
  </si>
  <si>
    <t>Gesamt Total</t>
  </si>
  <si>
    <t>Sieg:</t>
  </si>
  <si>
    <t>Unentschieden:</t>
  </si>
  <si>
    <t>Quali-50%</t>
  </si>
  <si>
    <t>Petersen Rangliste</t>
  </si>
  <si>
    <t>Co</t>
  </si>
  <si>
    <t>SP</t>
  </si>
  <si>
    <t>CO</t>
  </si>
  <si>
    <t>Spiel 7</t>
  </si>
  <si>
    <t>30</t>
  </si>
  <si>
    <t>15</t>
  </si>
  <si>
    <t>450 Pins im Doppel:</t>
  </si>
  <si>
    <t>10</t>
  </si>
  <si>
    <t>400 Pins im Doppel:</t>
  </si>
  <si>
    <t>5</t>
  </si>
  <si>
    <t>Bonus1</t>
  </si>
  <si>
    <t>Bonus 2</t>
  </si>
  <si>
    <t>Bonus3</t>
  </si>
  <si>
    <t>Bonus4</t>
  </si>
  <si>
    <t>Bonus5</t>
  </si>
  <si>
    <t>Bonus6</t>
  </si>
  <si>
    <t>Bonus7</t>
  </si>
  <si>
    <t>Bonus Gesamt</t>
  </si>
  <si>
    <t>Doppel-Schnitt</t>
  </si>
  <si>
    <t>Sp</t>
  </si>
  <si>
    <t>Schnitt/Scratch</t>
  </si>
  <si>
    <t>Total/Scratch</t>
  </si>
  <si>
    <t>Total m. HCP</t>
  </si>
  <si>
    <t>Spiele</t>
  </si>
  <si>
    <t>Qualifikation</t>
  </si>
  <si>
    <t>Zwischen Runde</t>
  </si>
  <si>
    <t>Petersen Final</t>
  </si>
  <si>
    <t>Total Scratch</t>
  </si>
  <si>
    <t>Schnitt Sratch</t>
  </si>
  <si>
    <t>Scratch Liste</t>
  </si>
  <si>
    <t>Spiel 8</t>
  </si>
  <si>
    <t>Doppel</t>
  </si>
  <si>
    <t>Schreibzettel Petersen</t>
  </si>
  <si>
    <t>Zusatz-
punkte</t>
  </si>
  <si>
    <t>Bonus</t>
  </si>
  <si>
    <t>HDC nach 6</t>
  </si>
  <si>
    <t>Gangloff Thomas</t>
  </si>
  <si>
    <t>SZ</t>
  </si>
  <si>
    <t>Koller Donat</t>
  </si>
  <si>
    <t>Koller Susann</t>
  </si>
  <si>
    <t>VonDewitz Jörg</t>
  </si>
  <si>
    <t>Tellenbach Hansruedi</t>
  </si>
  <si>
    <t>TG</t>
  </si>
  <si>
    <t>Vetsch Ruedi</t>
  </si>
  <si>
    <t>Fehr Patrick</t>
  </si>
  <si>
    <t>Tell Alvaro</t>
  </si>
  <si>
    <t>Schmied Walter</t>
  </si>
  <si>
    <t>ZH</t>
  </si>
  <si>
    <t>Caplette Claude</t>
  </si>
  <si>
    <t>Ineichen Rinaldo</t>
  </si>
  <si>
    <t>Simsek Thomson</t>
  </si>
  <si>
    <t>Marciante Marco</t>
  </si>
  <si>
    <t>SZJ</t>
  </si>
  <si>
    <t>ZHJ</t>
  </si>
  <si>
    <t>Miracula Giuseppe</t>
  </si>
  <si>
    <t>Riccardi Fillipo</t>
  </si>
  <si>
    <t>Dvorak Marco</t>
  </si>
  <si>
    <t>Hutter Marcel</t>
  </si>
  <si>
    <t>Brand Stefan</t>
  </si>
  <si>
    <t>Heinrich Uwe</t>
  </si>
  <si>
    <t>BSJ</t>
  </si>
  <si>
    <t>Jakob Marc</t>
  </si>
  <si>
    <t>Steiner Willy</t>
  </si>
  <si>
    <t>Kuster Marlies</t>
  </si>
  <si>
    <t>Schmid Linda</t>
  </si>
  <si>
    <t>Seiler Franz</t>
  </si>
  <si>
    <t>Kläger Andreas</t>
  </si>
  <si>
    <t>NW</t>
  </si>
  <si>
    <t>Bieri Andy</t>
  </si>
  <si>
    <t>Ancarani Dario</t>
  </si>
  <si>
    <t>Fiorani Lucio</t>
  </si>
  <si>
    <t>Ancarani Sandro</t>
  </si>
  <si>
    <t>Thurston Roger</t>
  </si>
  <si>
    <t>BE</t>
  </si>
  <si>
    <t>Meierhans Heinz</t>
  </si>
  <si>
    <t>Kalt Angela</t>
  </si>
  <si>
    <t>Slagmolen Jarno</t>
  </si>
  <si>
    <t>Hermann Markus</t>
  </si>
  <si>
    <t>Gubler Sandy</t>
  </si>
  <si>
    <t>Gubler Mike</t>
  </si>
  <si>
    <t>Persson Göran</t>
  </si>
  <si>
    <t>BS</t>
  </si>
  <si>
    <t>Hügin Chantal</t>
  </si>
  <si>
    <t>Angioletti Michele</t>
  </si>
  <si>
    <t>Bloch Stefan</t>
  </si>
  <si>
    <t>Deiner Michael</t>
  </si>
  <si>
    <t>Cuva Tanja</t>
  </si>
  <si>
    <t>Branezac Damir</t>
  </si>
  <si>
    <t>Meyer Samuel</t>
  </si>
  <si>
    <t>Punsalan Dany</t>
  </si>
  <si>
    <t>Gede Mudana</t>
  </si>
  <si>
    <t>Gede Suyasa</t>
  </si>
  <si>
    <t>Ghilardi Joe</t>
  </si>
  <si>
    <t>Zeberli Martin</t>
  </si>
  <si>
    <t>Hürlimann Martin</t>
  </si>
  <si>
    <t>Leutwiler Sabine</t>
  </si>
  <si>
    <t>Hürlimann Daniel</t>
  </si>
  <si>
    <t>Ammann Hans</t>
  </si>
  <si>
    <t>Gnägi Kevin</t>
  </si>
  <si>
    <t>Suter Martin</t>
  </si>
  <si>
    <t>Müller Roger</t>
  </si>
  <si>
    <t>Müller Guido</t>
  </si>
  <si>
    <t xml:space="preserve">Jauch Daniel </t>
  </si>
  <si>
    <t xml:space="preserve">Hubacher Stefan </t>
  </si>
  <si>
    <t xml:space="preserve">Köstinger Monika </t>
  </si>
  <si>
    <t>Bernd Biallas</t>
  </si>
  <si>
    <t>GE</t>
  </si>
  <si>
    <t>Schwab Martin</t>
  </si>
  <si>
    <t>Furrer Toni</t>
  </si>
  <si>
    <t>ZG</t>
  </si>
  <si>
    <t>Zgraggen Martin</t>
  </si>
  <si>
    <t>Kolb Markus</t>
  </si>
  <si>
    <t>Schleiss Markus</t>
  </si>
  <si>
    <t>Ebener Andreas</t>
  </si>
  <si>
    <t>JB</t>
  </si>
  <si>
    <t>JA</t>
  </si>
  <si>
    <t>Lienhard Joel</t>
  </si>
  <si>
    <t>Monika Mader</t>
  </si>
  <si>
    <t>Rangliste Doppel Masters Sonnmatt 2009 vom 11.-18.10.2009</t>
  </si>
  <si>
    <t>Doppel Master Sonnmatt 2009</t>
  </si>
  <si>
    <t>Rangliste Doppel Masters Sonnmatt 2009</t>
  </si>
  <si>
    <t>Zwischenrunde Doppel Master Sonnmatt 2009</t>
  </si>
  <si>
    <t>18. Oktober 2009</t>
  </si>
  <si>
    <t>Haasper Kevin</t>
  </si>
  <si>
    <t>Kälin-Möckli Levin</t>
  </si>
  <si>
    <t>Riegler Yuval</t>
  </si>
  <si>
    <t>Stucki Daryl</t>
  </si>
  <si>
    <t>von Moos Marco</t>
  </si>
  <si>
    <t>Caré Michel</t>
  </si>
  <si>
    <t>Bischhofberger Richard</t>
  </si>
  <si>
    <t>Ancarani Mario</t>
  </si>
  <si>
    <t>Stuker Roland</t>
  </si>
  <si>
    <t>Bösiger Andreas</t>
  </si>
  <si>
    <t>Fülster Wilfried</t>
  </si>
  <si>
    <t>Schönenberger Marcel</t>
  </si>
  <si>
    <t>Loser Marta</t>
  </si>
  <si>
    <t xml:space="preserve">Pfammatter Carmen </t>
  </si>
</sst>
</file>

<file path=xl/styles.xml><?xml version="1.0" encoding="utf-8"?>
<styleSheet xmlns="http://schemas.openxmlformats.org/spreadsheetml/2006/main">
  <numFmts count="2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mmm/yy"/>
    <numFmt numFmtId="173" formatCode="d/mmm"/>
    <numFmt numFmtId="174" formatCode="0.0000"/>
    <numFmt numFmtId="175" formatCode="0.000"/>
    <numFmt numFmtId="176" formatCode="0.0"/>
    <numFmt numFmtId="177" formatCode="0.000000"/>
    <numFmt numFmtId="178" formatCode="0.0000000"/>
    <numFmt numFmtId="179" formatCode="0.00000"/>
    <numFmt numFmtId="180" formatCode="0.00000000"/>
  </numFmts>
  <fonts count="29">
    <font>
      <sz val="10"/>
      <name val="Arial"/>
      <family val="0"/>
    </font>
    <font>
      <b/>
      <sz val="10"/>
      <name val="Arial"/>
      <family val="0"/>
    </font>
    <font>
      <i/>
      <sz val="10"/>
      <name val="Arial"/>
      <family val="0"/>
    </font>
    <font>
      <b/>
      <i/>
      <sz val="10"/>
      <name val="Arial"/>
      <family val="0"/>
    </font>
    <font>
      <b/>
      <sz val="18"/>
      <name val="Arial"/>
      <family val="0"/>
    </font>
    <font>
      <b/>
      <sz val="10"/>
      <color indexed="9"/>
      <name val="Arial"/>
      <family val="0"/>
    </font>
    <font>
      <b/>
      <sz val="10"/>
      <color indexed="8"/>
      <name val="Arial"/>
      <family val="0"/>
    </font>
    <font>
      <b/>
      <sz val="12"/>
      <name val="Arial"/>
      <family val="2"/>
    </font>
    <font>
      <sz val="12"/>
      <name val="Arial"/>
      <family val="2"/>
    </font>
    <font>
      <b/>
      <sz val="12"/>
      <color indexed="9"/>
      <name val="Arial"/>
      <family val="2"/>
    </font>
    <font>
      <b/>
      <sz val="12"/>
      <color indexed="8"/>
      <name val="Arial"/>
      <family val="2"/>
    </font>
    <font>
      <sz val="18"/>
      <name val="Arial"/>
      <family val="2"/>
    </font>
    <font>
      <b/>
      <sz val="14"/>
      <name val="Arial"/>
      <family val="2"/>
    </font>
    <font>
      <sz val="8"/>
      <name val="Arial"/>
      <family val="2"/>
    </font>
    <font>
      <sz val="18"/>
      <name val="MS Sans Serif"/>
      <family val="2"/>
    </font>
    <font>
      <sz val="14"/>
      <name val="Arial"/>
      <family val="2"/>
    </font>
    <font>
      <b/>
      <sz val="10"/>
      <name val="Helv"/>
      <family val="0"/>
    </font>
    <font>
      <b/>
      <sz val="8"/>
      <name val="Arial"/>
      <family val="0"/>
    </font>
    <font>
      <b/>
      <sz val="9"/>
      <name val="Arial"/>
      <family val="0"/>
    </font>
    <font>
      <b/>
      <sz val="20"/>
      <name val="Arial"/>
      <family val="2"/>
    </font>
    <font>
      <b/>
      <sz val="30"/>
      <name val="Arial"/>
      <family val="2"/>
    </font>
    <font>
      <b/>
      <sz val="11"/>
      <name val="Arial"/>
      <family val="2"/>
    </font>
    <font>
      <sz val="20"/>
      <name val="Arial"/>
      <family val="2"/>
    </font>
    <font>
      <sz val="16"/>
      <name val="Arial"/>
      <family val="2"/>
    </font>
    <font>
      <b/>
      <sz val="16"/>
      <name val="Arial"/>
      <family val="2"/>
    </font>
    <font>
      <u val="single"/>
      <sz val="10"/>
      <color indexed="12"/>
      <name val="Arial"/>
      <family val="0"/>
    </font>
    <font>
      <u val="single"/>
      <sz val="10"/>
      <color indexed="36"/>
      <name val="Arial"/>
      <family val="0"/>
    </font>
    <font>
      <sz val="12"/>
      <color indexed="10"/>
      <name val="Arial"/>
      <family val="2"/>
    </font>
    <font>
      <sz val="10"/>
      <color indexed="10"/>
      <name val="Arial"/>
      <family val="2"/>
    </font>
  </fonts>
  <fills count="5">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47"/>
        <bgColor indexed="64"/>
      </patternFill>
    </fill>
  </fills>
  <borders count="59">
    <border>
      <left/>
      <right/>
      <top/>
      <bottom/>
      <diagonal/>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hair"/>
      <right style="hair"/>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medium"/>
      <bottom style="medium"/>
    </border>
    <border>
      <left>
        <color indexed="63"/>
      </left>
      <right style="hair"/>
      <top style="hair"/>
      <bottom style="thin"/>
    </border>
    <border>
      <left>
        <color indexed="63"/>
      </left>
      <right style="medium"/>
      <top style="hair"/>
      <bottom style="thin"/>
    </border>
    <border>
      <left>
        <color indexed="63"/>
      </left>
      <right style="hair"/>
      <top style="thin"/>
      <bottom style="hair"/>
    </border>
    <border>
      <left>
        <color indexed="63"/>
      </left>
      <right style="medium"/>
      <top style="thin"/>
      <bottom style="hair"/>
    </border>
    <border>
      <left>
        <color indexed="63"/>
      </left>
      <right style="hair"/>
      <top style="medium"/>
      <bottom style="hair"/>
    </border>
    <border>
      <left>
        <color indexed="63"/>
      </left>
      <right style="medium"/>
      <top style="medium"/>
      <bottom style="hair"/>
    </border>
    <border>
      <left>
        <color indexed="63"/>
      </left>
      <right style="hair"/>
      <top style="hair"/>
      <bottom style="medium"/>
    </border>
    <border>
      <left>
        <color indexed="63"/>
      </left>
      <right style="medium"/>
      <top style="hair"/>
      <bottom style="medium"/>
    </border>
    <border>
      <left>
        <color indexed="63"/>
      </left>
      <right style="hair"/>
      <top>
        <color indexed="63"/>
      </top>
      <bottom style="hair"/>
    </border>
    <border>
      <left>
        <color indexed="63"/>
      </left>
      <right style="medium"/>
      <top>
        <color indexed="63"/>
      </top>
      <bottom style="hair"/>
    </border>
    <border>
      <left style="hair"/>
      <right style="hair"/>
      <top style="hair"/>
      <bottom style="thin"/>
    </border>
    <border>
      <left>
        <color indexed="63"/>
      </left>
      <right style="hair"/>
      <top style="hair"/>
      <bottom style="hair"/>
    </border>
    <border>
      <left style="thin"/>
      <right style="thin"/>
      <top style="thin"/>
      <bottom style="double"/>
    </border>
    <border>
      <left style="medium"/>
      <right>
        <color indexed="63"/>
      </right>
      <top style="medium"/>
      <bottom style="thin"/>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medium"/>
      <top style="medium"/>
      <bottom style="thin"/>
    </border>
    <border>
      <left>
        <color indexed="63"/>
      </left>
      <right style="hair"/>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medium"/>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46">
    <xf numFmtId="0" fontId="0" fillId="0" borderId="0" xfId="0" applyAlignment="1">
      <alignment/>
    </xf>
    <xf numFmtId="0" fontId="1"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quotePrefix="1">
      <alignment horizontal="right"/>
    </xf>
    <xf numFmtId="0" fontId="0" fillId="0" borderId="0" xfId="0" applyAlignment="1">
      <alignment horizontal="centerContinuous"/>
    </xf>
    <xf numFmtId="0" fontId="4" fillId="0" borderId="0" xfId="0" applyFont="1" applyAlignment="1">
      <alignment/>
    </xf>
    <xf numFmtId="0" fontId="0" fillId="0" borderId="0" xfId="0" applyAlignment="1">
      <alignment horizontal="center"/>
    </xf>
    <xf numFmtId="0" fontId="5" fillId="0" borderId="0" xfId="0" applyFont="1" applyAlignment="1">
      <alignment wrapText="1"/>
    </xf>
    <xf numFmtId="0" fontId="6" fillId="0" borderId="0" xfId="0" applyFont="1" applyAlignment="1">
      <alignment wrapText="1"/>
    </xf>
    <xf numFmtId="0" fontId="6" fillId="0" borderId="0" xfId="0" applyFont="1" applyAlignment="1">
      <alignment/>
    </xf>
    <xf numFmtId="0" fontId="1" fillId="0" borderId="0" xfId="0" applyFont="1" applyAlignment="1">
      <alignment horizontal="centerContinuous"/>
    </xf>
    <xf numFmtId="0" fontId="0" fillId="0" borderId="0" xfId="0" applyAlignment="1">
      <alignment vertical="center"/>
    </xf>
    <xf numFmtId="0" fontId="11" fillId="0" borderId="0" xfId="0" applyFont="1" applyAlignment="1" quotePrefix="1">
      <alignment horizontal="left"/>
    </xf>
    <xf numFmtId="0" fontId="1" fillId="0" borderId="0" xfId="0" applyFont="1" applyAlignment="1">
      <alignment horizontal="center"/>
    </xf>
    <xf numFmtId="1" fontId="0" fillId="0" borderId="0" xfId="0" applyNumberFormat="1" applyAlignment="1">
      <alignment/>
    </xf>
    <xf numFmtId="1" fontId="0" fillId="0" borderId="0" xfId="0" applyNumberFormat="1" applyAlignment="1">
      <alignment vertical="center"/>
    </xf>
    <xf numFmtId="0" fontId="0" fillId="0" borderId="0" xfId="0" applyAlignment="1" quotePrefix="1">
      <alignment horizontal="center"/>
    </xf>
    <xf numFmtId="0" fontId="0" fillId="0" borderId="0" xfId="0" applyAlignment="1">
      <alignment horizontal="right"/>
    </xf>
    <xf numFmtId="2" fontId="0" fillId="0" borderId="0" xfId="0" applyNumberFormat="1" applyAlignment="1">
      <alignment vertical="center"/>
    </xf>
    <xf numFmtId="176" fontId="0" fillId="0" borderId="0" xfId="0" applyNumberFormat="1" applyAlignment="1">
      <alignment horizontal="right"/>
    </xf>
    <xf numFmtId="0" fontId="1" fillId="0" borderId="0" xfId="0" applyFont="1" applyAlignment="1">
      <alignment/>
    </xf>
    <xf numFmtId="0" fontId="0" fillId="0" borderId="0" xfId="0" applyAlignment="1" applyProtection="1">
      <alignment horizontal="centerContinuous"/>
      <protection locked="0"/>
    </xf>
    <xf numFmtId="2" fontId="0" fillId="0" borderId="0" xfId="0" applyNumberFormat="1" applyAlignment="1" applyProtection="1">
      <alignment horizontal="centerContinuous"/>
      <protection locked="0"/>
    </xf>
    <xf numFmtId="0" fontId="1" fillId="0" borderId="0" xfId="0" applyFont="1" applyAlignment="1" applyProtection="1">
      <alignment horizontal="centerContinuous"/>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Alignment="1" applyProtection="1">
      <alignment/>
      <protection locked="0"/>
    </xf>
    <xf numFmtId="0" fontId="1" fillId="0" borderId="0" xfId="0" applyFont="1" applyAlignment="1" applyProtection="1">
      <alignment/>
      <protection locked="0"/>
    </xf>
    <xf numFmtId="0" fontId="0" fillId="0" borderId="0" xfId="0" applyAlignment="1" applyProtection="1">
      <alignment vertical="center"/>
      <protection locked="0"/>
    </xf>
    <xf numFmtId="0" fontId="0" fillId="0" borderId="0" xfId="0" applyAlignment="1" applyProtection="1">
      <alignment vertical="center"/>
      <protection/>
    </xf>
    <xf numFmtId="1" fontId="0" fillId="0" borderId="0" xfId="0" applyNumberFormat="1" applyAlignment="1" applyProtection="1">
      <alignment vertical="center"/>
      <protection/>
    </xf>
    <xf numFmtId="0" fontId="0" fillId="0" borderId="0" xfId="0" applyAlignment="1" applyProtection="1">
      <alignment/>
      <protection/>
    </xf>
    <xf numFmtId="0" fontId="4" fillId="0" borderId="0" xfId="0" applyFont="1" applyAlignment="1">
      <alignment horizontal="center"/>
    </xf>
    <xf numFmtId="0" fontId="14" fillId="0" borderId="0" xfId="0" applyFont="1" applyAlignment="1">
      <alignment/>
    </xf>
    <xf numFmtId="0" fontId="12" fillId="0" borderId="0" xfId="20" applyFont="1">
      <alignment/>
      <protection/>
    </xf>
    <xf numFmtId="0" fontId="15" fillId="0" borderId="0" xfId="20" applyFont="1">
      <alignment/>
      <protection/>
    </xf>
    <xf numFmtId="0" fontId="0" fillId="0" borderId="0" xfId="20" applyAlignment="1">
      <alignment horizontal="centerContinuous"/>
      <protection/>
    </xf>
    <xf numFmtId="0" fontId="15" fillId="0" borderId="0" xfId="20" applyFont="1" applyAlignment="1">
      <alignment horizontal="left" vertical="center"/>
      <protection/>
    </xf>
    <xf numFmtId="0" fontId="15" fillId="0" borderId="0" xfId="20" applyFont="1" applyAlignment="1">
      <alignment vertical="center"/>
      <protection/>
    </xf>
    <xf numFmtId="0" fontId="0" fillId="0" borderId="0" xfId="20" applyAlignment="1">
      <alignment vertical="center"/>
      <protection/>
    </xf>
    <xf numFmtId="0" fontId="16" fillId="0" borderId="1" xfId="0" applyFont="1" applyBorder="1" applyAlignment="1">
      <alignment horizontal="center"/>
    </xf>
    <xf numFmtId="0" fontId="17" fillId="0" borderId="1" xfId="20" applyFont="1" applyBorder="1" applyAlignment="1">
      <alignment horizontal="centerContinuous" vertical="center" wrapText="1"/>
      <protection/>
    </xf>
    <xf numFmtId="0" fontId="15" fillId="0" borderId="0" xfId="20" applyFont="1" applyAlignment="1">
      <alignment horizontal="left"/>
      <protection/>
    </xf>
    <xf numFmtId="0" fontId="0" fillId="0" borderId="0" xfId="20">
      <alignment/>
      <protection/>
    </xf>
    <xf numFmtId="0" fontId="0" fillId="0" borderId="1" xfId="20" applyBorder="1" applyAlignment="1">
      <alignment horizontal="center" vertical="center"/>
      <protection/>
    </xf>
    <xf numFmtId="0" fontId="18" fillId="2" borderId="1" xfId="20" applyFont="1" applyFill="1" applyBorder="1" applyAlignment="1">
      <alignment horizontal="centerContinuous" vertical="center"/>
      <protection/>
    </xf>
    <xf numFmtId="0" fontId="0" fillId="0" borderId="0" xfId="20" applyAlignment="1">
      <alignment horizontal="center" vertical="center"/>
      <protection/>
    </xf>
    <xf numFmtId="0" fontId="18" fillId="2" borderId="0" xfId="20" applyFont="1" applyFill="1" applyBorder="1" applyAlignment="1">
      <alignment horizontal="centerContinuous" vertical="center"/>
      <protection/>
    </xf>
    <xf numFmtId="0" fontId="16" fillId="0" borderId="0" xfId="0" applyFont="1" applyAlignment="1">
      <alignment horizontal="center"/>
    </xf>
    <xf numFmtId="0" fontId="0" fillId="0" borderId="0" xfId="20" applyBorder="1" applyAlignment="1">
      <alignment vertical="top"/>
      <protection/>
    </xf>
    <xf numFmtId="0" fontId="0" fillId="0" borderId="0" xfId="20" applyFont="1" applyBorder="1" applyAlignment="1">
      <alignment vertical="center"/>
      <protection/>
    </xf>
    <xf numFmtId="0" fontId="0" fillId="0" borderId="0" xfId="21" applyAlignment="1">
      <alignment horizontal="center"/>
      <protection/>
    </xf>
    <xf numFmtId="0" fontId="0" fillId="0" borderId="0" xfId="21" applyAlignment="1">
      <alignment/>
      <protection/>
    </xf>
    <xf numFmtId="0" fontId="8" fillId="0" borderId="0" xfId="21" applyNumberFormat="1" applyFont="1" applyAlignment="1">
      <alignment horizontal="left"/>
      <protection/>
    </xf>
    <xf numFmtId="49" fontId="8" fillId="0" borderId="0" xfId="21" applyNumberFormat="1" applyFont="1" applyAlignment="1">
      <alignment horizontal="left"/>
      <protection/>
    </xf>
    <xf numFmtId="49" fontId="0" fillId="0" borderId="0" xfId="21" applyNumberFormat="1" applyFont="1" applyAlignment="1">
      <alignment horizontal="center"/>
      <protection/>
    </xf>
    <xf numFmtId="0" fontId="0" fillId="0" borderId="0" xfId="21">
      <alignment/>
      <protection/>
    </xf>
    <xf numFmtId="0" fontId="12" fillId="0" borderId="2" xfId="21" applyNumberFormat="1" applyFont="1" applyBorder="1" applyAlignment="1" quotePrefix="1">
      <alignment horizontal="left" vertical="center"/>
      <protection/>
    </xf>
    <xf numFmtId="0" fontId="12" fillId="0" borderId="2" xfId="21" applyNumberFormat="1" applyFont="1" applyBorder="1" applyAlignment="1" quotePrefix="1">
      <alignment horizontal="center" vertical="center"/>
      <protection/>
    </xf>
    <xf numFmtId="1" fontId="1" fillId="0" borderId="0" xfId="21" applyNumberFormat="1" applyFont="1" applyAlignment="1">
      <alignment horizontal="right" vertical="center"/>
      <protection/>
    </xf>
    <xf numFmtId="0" fontId="0" fillId="0" borderId="0" xfId="21" applyNumberFormat="1" applyFont="1" applyAlignment="1">
      <alignment horizontal="center" wrapText="1"/>
      <protection/>
    </xf>
    <xf numFmtId="0" fontId="12" fillId="0" borderId="3" xfId="21" applyNumberFormat="1" applyFont="1" applyBorder="1" applyAlignment="1">
      <alignment horizontal="left" vertical="center"/>
      <protection/>
    </xf>
    <xf numFmtId="0" fontId="12" fillId="0" borderId="3" xfId="21" applyNumberFormat="1" applyFont="1" applyBorder="1" applyAlignment="1" quotePrefix="1">
      <alignment horizontal="center" vertical="center"/>
      <protection/>
    </xf>
    <xf numFmtId="0" fontId="1" fillId="0" borderId="0" xfId="21" applyNumberFormat="1" applyFont="1" applyAlignment="1">
      <alignment horizontal="right" vertical="center"/>
      <protection/>
    </xf>
    <xf numFmtId="0" fontId="0" fillId="0" borderId="0" xfId="21" applyNumberFormat="1" applyAlignment="1">
      <alignment horizontal="center" wrapText="1"/>
      <protection/>
    </xf>
    <xf numFmtId="0" fontId="0" fillId="0" borderId="0" xfId="21" applyNumberFormat="1">
      <alignment/>
      <protection/>
    </xf>
    <xf numFmtId="0" fontId="19" fillId="0" borderId="0" xfId="21" applyFont="1">
      <alignment/>
      <protection/>
    </xf>
    <xf numFmtId="49" fontId="1" fillId="0" borderId="0" xfId="21" applyNumberFormat="1" applyFont="1" applyAlignment="1">
      <alignment horizontal="right" vertical="center"/>
      <protection/>
    </xf>
    <xf numFmtId="0" fontId="12" fillId="0" borderId="0" xfId="21" applyFont="1" applyAlignment="1">
      <alignment horizontal="center" vertical="center"/>
      <protection/>
    </xf>
    <xf numFmtId="49" fontId="0" fillId="0" borderId="0" xfId="21" applyNumberFormat="1" applyAlignment="1">
      <alignment horizontal="center" wrapText="1"/>
      <protection/>
    </xf>
    <xf numFmtId="0" fontId="20" fillId="0" borderId="0" xfId="21" applyNumberFormat="1" applyFont="1">
      <alignment/>
      <protection/>
    </xf>
    <xf numFmtId="49" fontId="21" fillId="0" borderId="0" xfId="21" applyNumberFormat="1" applyFont="1" applyAlignment="1">
      <alignment horizontal="center"/>
      <protection/>
    </xf>
    <xf numFmtId="0" fontId="19" fillId="0" borderId="0" xfId="21" applyFont="1" applyAlignment="1">
      <alignment horizontal="center"/>
      <protection/>
    </xf>
    <xf numFmtId="49" fontId="21" fillId="0" borderId="0" xfId="21" applyNumberFormat="1" applyFont="1" applyAlignment="1">
      <alignment horizontal="left"/>
      <protection/>
    </xf>
    <xf numFmtId="14" fontId="12" fillId="0" borderId="0" xfId="21" applyNumberFormat="1" applyFont="1" applyAlignment="1">
      <alignment horizontal="left"/>
      <protection/>
    </xf>
    <xf numFmtId="14" fontId="12" fillId="0" borderId="0" xfId="21" applyNumberFormat="1" applyFont="1" applyAlignment="1">
      <alignment horizontal="center"/>
      <protection/>
    </xf>
    <xf numFmtId="49" fontId="21" fillId="0" borderId="0" xfId="21" applyNumberFormat="1" applyFont="1" applyAlignment="1">
      <alignment/>
      <protection/>
    </xf>
    <xf numFmtId="0" fontId="19" fillId="0" borderId="0" xfId="21" applyNumberFormat="1" applyFont="1" applyAlignment="1">
      <alignment horizontal="left"/>
      <protection/>
    </xf>
    <xf numFmtId="49" fontId="19" fillId="0" borderId="0" xfId="21" applyNumberFormat="1" applyFont="1" applyAlignment="1">
      <alignment horizontal="left"/>
      <protection/>
    </xf>
    <xf numFmtId="49" fontId="0" fillId="0" borderId="0" xfId="21" applyNumberFormat="1" applyAlignment="1">
      <alignment horizontal="center"/>
      <protection/>
    </xf>
    <xf numFmtId="0" fontId="7" fillId="0" borderId="0" xfId="21" applyNumberFormat="1" applyFont="1" applyAlignment="1" quotePrefix="1">
      <alignment horizontal="left"/>
      <protection/>
    </xf>
    <xf numFmtId="49" fontId="22" fillId="0" borderId="1" xfId="21" applyNumberFormat="1" applyFont="1" applyBorder="1" applyAlignment="1" quotePrefix="1">
      <alignment horizontal="left" vertical="center"/>
      <protection/>
    </xf>
    <xf numFmtId="0" fontId="21" fillId="0" borderId="0" xfId="21" applyNumberFormat="1" applyFont="1" applyAlignment="1" quotePrefix="1">
      <alignment horizontal="left" vertical="center"/>
      <protection/>
    </xf>
    <xf numFmtId="0" fontId="0" fillId="0" borderId="0" xfId="21" applyFont="1">
      <alignment/>
      <protection/>
    </xf>
    <xf numFmtId="0" fontId="19" fillId="0" borderId="0" xfId="21" applyNumberFormat="1" applyFont="1">
      <alignment/>
      <protection/>
    </xf>
    <xf numFmtId="0" fontId="1" fillId="0" borderId="0" xfId="21" applyFont="1" applyAlignment="1">
      <alignment horizontal="center"/>
      <protection/>
    </xf>
    <xf numFmtId="49" fontId="21" fillId="0" borderId="0" xfId="21" applyNumberFormat="1" applyFont="1" applyAlignment="1">
      <alignment horizontal="left" vertical="center"/>
      <protection/>
    </xf>
    <xf numFmtId="0" fontId="19" fillId="0" borderId="0" xfId="21" applyFont="1" applyAlignment="1">
      <alignment horizontal="center" vertical="center"/>
      <protection/>
    </xf>
    <xf numFmtId="0" fontId="0" fillId="0" borderId="0" xfId="21" applyAlignment="1">
      <alignment horizontal="center" vertical="center"/>
      <protection/>
    </xf>
    <xf numFmtId="0" fontId="0" fillId="0" borderId="0" xfId="21" applyAlignment="1">
      <alignment vertical="center"/>
      <protection/>
    </xf>
    <xf numFmtId="49" fontId="0" fillId="0" borderId="0" xfId="21" applyNumberFormat="1" applyBorder="1" applyAlignment="1">
      <alignment horizontal="center" vertical="center" wrapText="1"/>
      <protection/>
    </xf>
    <xf numFmtId="0" fontId="12" fillId="0" borderId="4" xfId="21" applyNumberFormat="1" applyFont="1" applyBorder="1" applyAlignment="1" quotePrefix="1">
      <alignment horizontal="left" vertical="center"/>
      <protection/>
    </xf>
    <xf numFmtId="0" fontId="12" fillId="0" borderId="4" xfId="21" applyNumberFormat="1" applyFont="1" applyBorder="1" applyAlignment="1" quotePrefix="1">
      <alignment horizontal="center" vertical="center"/>
      <protection/>
    </xf>
    <xf numFmtId="49" fontId="21" fillId="0" borderId="0" xfId="21" applyNumberFormat="1" applyFont="1" applyBorder="1" applyAlignment="1">
      <alignment horizontal="center" vertical="center"/>
      <protection/>
    </xf>
    <xf numFmtId="0" fontId="0" fillId="0" borderId="0" xfId="21" applyFont="1" applyFill="1" applyBorder="1" applyAlignment="1" quotePrefix="1">
      <alignment horizontal="center" vertical="center" wrapText="1"/>
      <protection/>
    </xf>
    <xf numFmtId="0" fontId="0" fillId="0" borderId="0" xfId="21" applyFont="1" applyAlignment="1">
      <alignment horizontal="center" vertical="center"/>
      <protection/>
    </xf>
    <xf numFmtId="0" fontId="0" fillId="0" borderId="0" xfId="21" applyNumberFormat="1" applyFont="1" applyAlignment="1">
      <alignment vertical="center"/>
      <protection/>
    </xf>
    <xf numFmtId="49" fontId="0" fillId="0" borderId="0" xfId="21" applyNumberFormat="1" applyFont="1" applyFill="1" applyBorder="1" applyAlignment="1">
      <alignment horizontal="center" vertical="center" wrapText="1"/>
      <protection/>
    </xf>
    <xf numFmtId="0" fontId="0" fillId="0" borderId="0" xfId="21" applyFont="1" applyBorder="1" applyAlignment="1">
      <alignment horizontal="center" vertical="center"/>
      <protection/>
    </xf>
    <xf numFmtId="0" fontId="0" fillId="0" borderId="0" xfId="21" applyFont="1" applyFill="1" applyBorder="1" applyAlignment="1">
      <alignment horizontal="center" vertical="center" wrapText="1"/>
      <protection/>
    </xf>
    <xf numFmtId="49" fontId="13" fillId="0" borderId="0" xfId="21" applyNumberFormat="1" applyFont="1" applyFill="1" applyBorder="1" applyAlignment="1">
      <alignment horizontal="center" vertical="center" wrapText="1"/>
      <protection/>
    </xf>
    <xf numFmtId="1" fontId="8" fillId="0" borderId="5" xfId="21" applyNumberFormat="1" applyFont="1" applyFill="1" applyBorder="1" applyAlignment="1">
      <alignment horizontal="left" vertical="center"/>
      <protection/>
    </xf>
    <xf numFmtId="1" fontId="8" fillId="0" borderId="0" xfId="21" applyNumberFormat="1" applyFont="1" applyFill="1" applyBorder="1" applyAlignment="1">
      <alignment horizontal="left" vertical="center"/>
      <protection/>
    </xf>
    <xf numFmtId="1" fontId="8" fillId="0" borderId="6" xfId="21" applyNumberFormat="1" applyFont="1" applyFill="1" applyBorder="1" applyAlignment="1">
      <alignment horizontal="center" vertical="center"/>
      <protection/>
    </xf>
    <xf numFmtId="1" fontId="8" fillId="0" borderId="7" xfId="21" applyNumberFormat="1" applyFont="1" applyFill="1" applyBorder="1" applyAlignment="1">
      <alignment horizontal="left" vertical="center"/>
      <protection/>
    </xf>
    <xf numFmtId="1" fontId="8" fillId="0" borderId="8" xfId="21" applyNumberFormat="1" applyFont="1" applyFill="1" applyBorder="1" applyAlignment="1">
      <alignment horizontal="left" vertical="center"/>
      <protection/>
    </xf>
    <xf numFmtId="0" fontId="12" fillId="0" borderId="3" xfId="21" applyNumberFormat="1" applyFont="1" applyBorder="1" applyAlignment="1" quotePrefix="1">
      <alignment horizontal="left" vertical="center"/>
      <protection/>
    </xf>
    <xf numFmtId="1" fontId="8" fillId="0" borderId="9" xfId="21" applyNumberFormat="1" applyFont="1" applyFill="1" applyBorder="1" applyAlignment="1">
      <alignment horizontal="left" vertical="center"/>
      <protection/>
    </xf>
    <xf numFmtId="1" fontId="8" fillId="0" borderId="10" xfId="21" applyNumberFormat="1" applyFont="1" applyFill="1" applyBorder="1" applyAlignment="1">
      <alignment horizontal="center" vertical="center"/>
      <protection/>
    </xf>
    <xf numFmtId="1" fontId="8" fillId="0" borderId="11" xfId="21" applyNumberFormat="1" applyFont="1" applyFill="1" applyBorder="1" applyAlignment="1">
      <alignment horizontal="left" vertical="center"/>
      <protection/>
    </xf>
    <xf numFmtId="1" fontId="8" fillId="0" borderId="12" xfId="21" applyNumberFormat="1" applyFont="1" applyFill="1" applyBorder="1" applyAlignment="1">
      <alignment horizontal="left" vertical="center"/>
      <protection/>
    </xf>
    <xf numFmtId="0" fontId="0" fillId="0" borderId="0" xfId="21" applyFill="1" applyBorder="1" applyAlignment="1">
      <alignment horizontal="center" vertical="center"/>
      <protection/>
    </xf>
    <xf numFmtId="0" fontId="0" fillId="0" borderId="0" xfId="21" applyFill="1" applyBorder="1" applyAlignment="1">
      <alignment vertical="center"/>
      <protection/>
    </xf>
    <xf numFmtId="0"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49" fontId="0" fillId="0" borderId="0" xfId="21" applyNumberFormat="1" applyFill="1" applyBorder="1" applyAlignment="1">
      <alignment horizontal="center" vertical="center" wrapText="1"/>
      <protection/>
    </xf>
    <xf numFmtId="0" fontId="23" fillId="0" borderId="0" xfId="21" applyFont="1" applyAlignment="1">
      <alignment horizontal="center"/>
      <protection/>
    </xf>
    <xf numFmtId="0" fontId="23" fillId="0" borderId="0" xfId="21" applyFont="1">
      <alignment/>
      <protection/>
    </xf>
    <xf numFmtId="0" fontId="23" fillId="0" borderId="0" xfId="21" applyNumberFormat="1" applyFont="1" applyAlignment="1">
      <alignment horizontal="right"/>
      <protection/>
    </xf>
    <xf numFmtId="49" fontId="23" fillId="0" borderId="0" xfId="21" applyNumberFormat="1" applyFont="1" applyAlignment="1">
      <alignment horizontal="left"/>
      <protection/>
    </xf>
    <xf numFmtId="49" fontId="23" fillId="0" borderId="0" xfId="21" applyNumberFormat="1" applyFont="1" applyAlignment="1">
      <alignment horizontal="center" wrapText="1"/>
      <protection/>
    </xf>
    <xf numFmtId="49" fontId="24" fillId="0" borderId="0" xfId="21" applyNumberFormat="1" applyFont="1" applyAlignment="1">
      <alignment horizontal="center" wrapText="1"/>
      <protection/>
    </xf>
    <xf numFmtId="0" fontId="23" fillId="0" borderId="0" xfId="21" applyNumberFormat="1" applyFont="1" applyAlignment="1">
      <alignment horizontal="left" wrapText="1"/>
      <protection/>
    </xf>
    <xf numFmtId="49" fontId="23" fillId="0" borderId="0" xfId="21" applyNumberFormat="1" applyFont="1" applyAlignment="1">
      <alignment horizontal="center"/>
      <protection/>
    </xf>
    <xf numFmtId="0" fontId="0" fillId="0" borderId="0" xfId="21" applyNumberFormat="1" applyAlignment="1">
      <alignment horizontal="left" wrapText="1"/>
      <protection/>
    </xf>
    <xf numFmtId="49" fontId="0" fillId="0" borderId="0" xfId="21" applyNumberFormat="1" applyAlignment="1">
      <alignment horizontal="left" wrapText="1"/>
      <protection/>
    </xf>
    <xf numFmtId="0" fontId="4" fillId="0" borderId="0" xfId="0" applyFont="1" applyAlignment="1">
      <alignment horizontal="center" vertical="center"/>
    </xf>
    <xf numFmtId="0" fontId="1" fillId="0" borderId="0" xfId="0" applyFont="1" applyBorder="1" applyAlignment="1" applyProtection="1">
      <alignment vertical="center"/>
      <protection locked="0"/>
    </xf>
    <xf numFmtId="0" fontId="4" fillId="0" borderId="0" xfId="0" applyFont="1" applyAlignment="1" applyProtection="1">
      <alignment/>
      <protection locked="0"/>
    </xf>
    <xf numFmtId="0" fontId="5" fillId="0" borderId="0" xfId="0" applyFont="1" applyAlignment="1">
      <alignment horizontal="center" wrapText="1"/>
    </xf>
    <xf numFmtId="0" fontId="6" fillId="0" borderId="0" xfId="0" applyFont="1" applyAlignment="1">
      <alignment horizont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quotePrefix="1">
      <alignment horizontal="left" vertical="center"/>
    </xf>
    <xf numFmtId="0" fontId="8" fillId="0" borderId="1" xfId="0" applyFont="1" applyBorder="1" applyAlignment="1" quotePrefix="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9" fillId="0" borderId="14" xfId="0" applyFont="1" applyBorder="1" applyAlignment="1">
      <alignment horizontal="center" vertical="center" wrapText="1"/>
    </xf>
    <xf numFmtId="0" fontId="7" fillId="0" borderId="14" xfId="0" applyFont="1" applyBorder="1" applyAlignment="1">
      <alignment horizontal="center" vertical="center"/>
    </xf>
    <xf numFmtId="0" fontId="10" fillId="0" borderId="14" xfId="0" applyFont="1" applyBorder="1" applyAlignment="1">
      <alignment horizontal="center" vertical="center" wrapText="1"/>
    </xf>
    <xf numFmtId="0" fontId="7" fillId="0" borderId="16"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xf>
    <xf numFmtId="0" fontId="8" fillId="0" borderId="17" xfId="0" applyFont="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6" fontId="8" fillId="0" borderId="17" xfId="0" applyNumberFormat="1" applyFont="1" applyBorder="1" applyAlignment="1">
      <alignment horizontal="center" vertical="center"/>
    </xf>
    <xf numFmtId="0" fontId="10" fillId="0" borderId="18" xfId="0" applyFont="1" applyBorder="1" applyAlignment="1">
      <alignment horizontal="center" vertical="center" wrapText="1"/>
    </xf>
    <xf numFmtId="0" fontId="7" fillId="0" borderId="20"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8" fillId="0" borderId="21" xfId="0" applyNumberFormat="1" applyFont="1" applyBorder="1" applyAlignment="1">
      <alignment horizontal="center" vertical="center"/>
    </xf>
    <xf numFmtId="0" fontId="9" fillId="0" borderId="22" xfId="0" applyFont="1" applyBorder="1" applyAlignment="1">
      <alignment horizontal="center" vertical="center" wrapText="1"/>
    </xf>
    <xf numFmtId="0" fontId="8" fillId="0" borderId="16" xfId="0" applyFont="1" applyBorder="1" applyAlignment="1">
      <alignment horizontal="center" vertical="center"/>
    </xf>
    <xf numFmtId="0" fontId="7"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0" fillId="0" borderId="21" xfId="0" applyBorder="1" applyAlignment="1">
      <alignment vertical="center"/>
    </xf>
    <xf numFmtId="0" fontId="1" fillId="0" borderId="21" xfId="0" applyFont="1" applyBorder="1" applyAlignment="1">
      <alignment horizontal="left" vertical="center"/>
    </xf>
    <xf numFmtId="0" fontId="1" fillId="0" borderId="21" xfId="0" applyFont="1" applyBorder="1" applyAlignment="1" quotePrefix="1">
      <alignment horizontal="center" vertical="center"/>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4" xfId="0" applyFont="1" applyBorder="1" applyAlignment="1">
      <alignment horizontal="center"/>
    </xf>
    <xf numFmtId="0" fontId="0" fillId="0" borderId="25" xfId="0" applyBorder="1" applyAlignment="1">
      <alignment/>
    </xf>
    <xf numFmtId="0" fontId="0" fillId="0" borderId="25" xfId="0" applyBorder="1" applyAlignment="1">
      <alignment horizontal="left"/>
    </xf>
    <xf numFmtId="0" fontId="0" fillId="0" borderId="25" xfId="0" applyBorder="1" applyAlignment="1">
      <alignment horizontal="center"/>
    </xf>
    <xf numFmtId="0" fontId="0" fillId="0" borderId="26" xfId="0" applyBorder="1" applyAlignment="1">
      <alignment horizontal="right"/>
    </xf>
    <xf numFmtId="0" fontId="0" fillId="0" borderId="25" xfId="0" applyBorder="1" applyAlignment="1">
      <alignment horizontal="right"/>
    </xf>
    <xf numFmtId="0" fontId="7" fillId="0" borderId="27" xfId="0" applyFont="1" applyBorder="1" applyAlignment="1">
      <alignment horizontal="center" vertical="center"/>
    </xf>
    <xf numFmtId="0" fontId="0" fillId="0" borderId="28" xfId="0" applyBorder="1" applyAlignment="1">
      <alignment horizontal="right"/>
    </xf>
    <xf numFmtId="176" fontId="0" fillId="0" borderId="25" xfId="0" applyNumberFormat="1" applyBorder="1" applyAlignment="1">
      <alignment horizontal="right"/>
    </xf>
    <xf numFmtId="0" fontId="1" fillId="0" borderId="29" xfId="0" applyFont="1" applyBorder="1" applyAlignment="1">
      <alignment/>
    </xf>
    <xf numFmtId="0" fontId="7" fillId="0" borderId="30" xfId="0" applyFont="1" applyBorder="1" applyAlignment="1">
      <alignment horizontal="right" vertical="center"/>
    </xf>
    <xf numFmtId="9" fontId="1" fillId="0" borderId="0" xfId="0" applyNumberFormat="1" applyFont="1" applyAlignment="1" applyProtection="1">
      <alignment vertical="center"/>
      <protection locked="0"/>
    </xf>
    <xf numFmtId="0" fontId="0" fillId="0" borderId="1" xfId="0" applyBorder="1" applyAlignment="1">
      <alignment/>
    </xf>
    <xf numFmtId="0" fontId="0" fillId="0" borderId="1" xfId="0" applyBorder="1" applyAlignment="1">
      <alignment horizontal="center"/>
    </xf>
    <xf numFmtId="1" fontId="0" fillId="0" borderId="1" xfId="0" applyNumberFormat="1" applyBorder="1" applyAlignment="1">
      <alignment/>
    </xf>
    <xf numFmtId="176" fontId="1" fillId="0" borderId="0" xfId="0" applyNumberFormat="1" applyFont="1" applyAlignment="1">
      <alignment horizontal="center"/>
    </xf>
    <xf numFmtId="2" fontId="1" fillId="0" borderId="0" xfId="0" applyNumberFormat="1" applyFont="1" applyAlignment="1">
      <alignment horizontal="center" vertical="center"/>
    </xf>
    <xf numFmtId="0" fontId="0" fillId="0" borderId="0" xfId="0" applyFont="1" applyAlignment="1">
      <alignment/>
    </xf>
    <xf numFmtId="0" fontId="0" fillId="0" borderId="0" xfId="0" applyFont="1" applyAlignment="1" applyProtection="1">
      <alignment/>
      <protection locked="0"/>
    </xf>
    <xf numFmtId="0" fontId="8" fillId="0" borderId="31"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Fill="1" applyBorder="1" applyAlignment="1">
      <alignment horizontal="left" vertical="center"/>
    </xf>
    <xf numFmtId="0" fontId="8" fillId="0" borderId="34"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center" vertical="center"/>
    </xf>
    <xf numFmtId="0" fontId="8" fillId="3" borderId="35" xfId="0" applyFont="1" applyFill="1" applyBorder="1" applyAlignment="1">
      <alignment horizontal="left" vertical="center"/>
    </xf>
    <xf numFmtId="0" fontId="8" fillId="3" borderId="36" xfId="0" applyFont="1" applyFill="1" applyBorder="1" applyAlignment="1">
      <alignment horizontal="center" vertical="center"/>
    </xf>
    <xf numFmtId="0" fontId="8" fillId="3" borderId="31" xfId="0" applyFont="1" applyFill="1" applyBorder="1" applyAlignment="1">
      <alignment horizontal="left" vertical="center"/>
    </xf>
    <xf numFmtId="0" fontId="8" fillId="3" borderId="32" xfId="0" applyFont="1" applyFill="1" applyBorder="1" applyAlignment="1">
      <alignment horizontal="center" vertical="center"/>
    </xf>
    <xf numFmtId="0" fontId="8" fillId="3" borderId="33" xfId="0" applyFont="1" applyFill="1" applyBorder="1" applyAlignment="1">
      <alignment horizontal="left" vertical="center"/>
    </xf>
    <xf numFmtId="0" fontId="8" fillId="3" borderId="34" xfId="0" applyFont="1" applyFill="1" applyBorder="1" applyAlignment="1">
      <alignment horizontal="center" vertical="center"/>
    </xf>
    <xf numFmtId="0" fontId="8" fillId="3" borderId="37" xfId="0" applyFont="1" applyFill="1" applyBorder="1" applyAlignment="1">
      <alignment horizontal="left" vertical="center"/>
    </xf>
    <xf numFmtId="0" fontId="8" fillId="3" borderId="38" xfId="0" applyFont="1" applyFill="1" applyBorder="1" applyAlignment="1">
      <alignment horizontal="center" vertical="center"/>
    </xf>
    <xf numFmtId="0" fontId="8" fillId="3" borderId="39" xfId="0" applyFont="1" applyFill="1" applyBorder="1" applyAlignment="1">
      <alignment horizontal="left" vertical="center"/>
    </xf>
    <xf numFmtId="0" fontId="8" fillId="3" borderId="40" xfId="0" applyFont="1" applyFill="1" applyBorder="1" applyAlignment="1">
      <alignment horizontal="center" vertical="center"/>
    </xf>
    <xf numFmtId="0" fontId="27" fillId="0" borderId="41" xfId="0" applyFont="1" applyFill="1" applyBorder="1" applyAlignment="1" applyProtection="1">
      <alignment vertical="center"/>
      <protection locked="0"/>
    </xf>
    <xf numFmtId="0" fontId="28" fillId="0" borderId="0" xfId="0" applyFont="1" applyAlignment="1">
      <alignment/>
    </xf>
    <xf numFmtId="0" fontId="28" fillId="0" borderId="0" xfId="0" applyFont="1" applyAlignment="1" quotePrefix="1">
      <alignment horizontal="left"/>
    </xf>
    <xf numFmtId="1" fontId="28" fillId="0" borderId="0" xfId="0" applyNumberFormat="1" applyFont="1" applyAlignment="1">
      <alignment/>
    </xf>
    <xf numFmtId="176" fontId="0" fillId="0" borderId="0" xfId="0" applyNumberFormat="1" applyAlignment="1">
      <alignment/>
    </xf>
    <xf numFmtId="0" fontId="8" fillId="0" borderId="42" xfId="0" applyFont="1" applyBorder="1" applyAlignment="1" applyProtection="1">
      <alignment vertical="center"/>
      <protection/>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quotePrefix="1">
      <alignment horizontal="center" vertical="center"/>
      <protection locked="0"/>
    </xf>
    <xf numFmtId="2" fontId="1"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xf>
    <xf numFmtId="0" fontId="8" fillId="0" borderId="1" xfId="0" applyFont="1" applyBorder="1" applyAlignment="1" applyProtection="1">
      <alignment horizontal="center" vertical="center"/>
      <protection/>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xf>
    <xf numFmtId="2" fontId="8" fillId="0" borderId="1" xfId="0" applyNumberFormat="1" applyFont="1" applyBorder="1" applyAlignment="1" applyProtection="1">
      <alignment vertical="center"/>
      <protection/>
    </xf>
    <xf numFmtId="0" fontId="1" fillId="0" borderId="42" xfId="0" applyFont="1" applyBorder="1" applyAlignment="1">
      <alignment horizontal="center" vertical="center"/>
    </xf>
    <xf numFmtId="0" fontId="8" fillId="0" borderId="42" xfId="0" applyFont="1" applyBorder="1" applyAlignment="1">
      <alignment vertical="center"/>
    </xf>
    <xf numFmtId="0" fontId="0" fillId="0" borderId="1" xfId="0"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quotePrefix="1">
      <alignment horizontal="center" vertical="center"/>
    </xf>
    <xf numFmtId="0" fontId="1" fillId="0" borderId="1" xfId="0" applyFont="1" applyBorder="1" applyAlignment="1">
      <alignment horizontal="left" vertical="center"/>
    </xf>
    <xf numFmtId="0" fontId="7" fillId="0" borderId="1" xfId="0" applyFont="1" applyBorder="1" applyAlignment="1">
      <alignment horizontal="center"/>
    </xf>
    <xf numFmtId="0" fontId="8" fillId="0" borderId="1" xfId="0" applyFont="1" applyFill="1" applyBorder="1" applyAlignment="1">
      <alignment vertical="center"/>
    </xf>
    <xf numFmtId="1" fontId="8"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42" xfId="0" applyBorder="1" applyAlignment="1">
      <alignment vertical="center"/>
    </xf>
    <xf numFmtId="0" fontId="8" fillId="0" borderId="39" xfId="0" applyFont="1" applyBorder="1" applyAlignment="1">
      <alignment vertical="center"/>
    </xf>
    <xf numFmtId="0" fontId="8" fillId="0" borderId="31" xfId="0" applyFont="1" applyBorder="1" applyAlignment="1">
      <alignment vertical="center"/>
    </xf>
    <xf numFmtId="0" fontId="1" fillId="0" borderId="1" xfId="0" applyFont="1" applyBorder="1" applyAlignment="1" quotePrefix="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 fontId="8" fillId="0" borderId="1" xfId="0" applyNumberFormat="1"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1" xfId="0" applyFont="1" applyBorder="1" applyAlignment="1" applyProtection="1">
      <alignment horizontal="center" vertical="center"/>
      <protection/>
    </xf>
    <xf numFmtId="0" fontId="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xf>
    <xf numFmtId="2" fontId="8" fillId="0" borderId="21" xfId="0" applyNumberFormat="1" applyFont="1" applyBorder="1" applyAlignment="1" applyProtection="1">
      <alignment vertical="center"/>
      <protection/>
    </xf>
    <xf numFmtId="0" fontId="8" fillId="0" borderId="43" xfId="0" applyFont="1" applyBorder="1" applyAlignment="1" applyProtection="1">
      <alignment vertical="center"/>
      <protection/>
    </xf>
    <xf numFmtId="0" fontId="8" fillId="0" borderId="43" xfId="0" applyFont="1" applyBorder="1" applyAlignment="1" applyProtection="1">
      <alignment horizontal="center" vertical="center"/>
      <protection/>
    </xf>
    <xf numFmtId="0" fontId="8" fillId="0" borderId="43" xfId="0" applyFont="1" applyFill="1" applyBorder="1" applyAlignment="1" applyProtection="1">
      <alignment vertical="center"/>
      <protection locked="0"/>
    </xf>
    <xf numFmtId="0" fontId="8" fillId="0" borderId="43" xfId="0" applyFont="1" applyFill="1" applyBorder="1" applyAlignment="1" applyProtection="1">
      <alignment vertical="center"/>
      <protection/>
    </xf>
    <xf numFmtId="2" fontId="8" fillId="0" borderId="43" xfId="0" applyNumberFormat="1" applyFont="1" applyBorder="1" applyAlignment="1" applyProtection="1">
      <alignment vertical="center"/>
      <protection/>
    </xf>
    <xf numFmtId="0" fontId="7" fillId="0" borderId="21" xfId="0" applyFont="1" applyBorder="1" applyAlignment="1">
      <alignment horizontal="center"/>
    </xf>
    <xf numFmtId="0" fontId="8" fillId="0" borderId="21" xfId="0" applyFont="1" applyFill="1" applyBorder="1" applyAlignment="1">
      <alignment vertical="center"/>
    </xf>
    <xf numFmtId="0" fontId="9" fillId="0" borderId="21" xfId="0" applyFont="1" applyBorder="1" applyAlignment="1">
      <alignment horizontal="center" vertical="center" wrapText="1"/>
    </xf>
    <xf numFmtId="0" fontId="8" fillId="0" borderId="43" xfId="0" applyFont="1" applyBorder="1" applyAlignment="1">
      <alignment vertical="center"/>
    </xf>
    <xf numFmtId="0" fontId="8" fillId="0" borderId="43" xfId="0" applyFont="1" applyBorder="1" applyAlignment="1">
      <alignment horizontal="center" vertical="center"/>
    </xf>
    <xf numFmtId="0" fontId="8" fillId="0" borderId="43" xfId="0" applyFont="1" applyFill="1" applyBorder="1" applyAlignment="1">
      <alignment vertical="center"/>
    </xf>
    <xf numFmtId="0" fontId="10" fillId="0" borderId="43" xfId="0" applyFont="1" applyBorder="1" applyAlignment="1">
      <alignment horizontal="center" vertical="center" wrapText="1"/>
    </xf>
    <xf numFmtId="1" fontId="8" fillId="0" borderId="44" xfId="21" applyNumberFormat="1" applyFont="1" applyFill="1" applyBorder="1" applyAlignment="1">
      <alignment horizontal="left" vertical="center"/>
      <protection/>
    </xf>
    <xf numFmtId="1" fontId="8" fillId="0" borderId="45" xfId="21" applyNumberFormat="1" applyFont="1" applyFill="1" applyBorder="1" applyAlignment="1">
      <alignment horizontal="left" vertical="center"/>
      <protection/>
    </xf>
    <xf numFmtId="1" fontId="8" fillId="0" borderId="46" xfId="21" applyNumberFormat="1" applyFont="1" applyFill="1" applyBorder="1" applyAlignment="1">
      <alignment horizontal="center" vertical="center"/>
      <protection/>
    </xf>
    <xf numFmtId="1" fontId="8" fillId="0" borderId="47" xfId="21" applyNumberFormat="1" applyFont="1" applyFill="1" applyBorder="1" applyAlignment="1">
      <alignment horizontal="center" vertical="center"/>
      <protection/>
    </xf>
    <xf numFmtId="0" fontId="0" fillId="0" borderId="7" xfId="21" applyBorder="1" applyAlignment="1">
      <alignment vertical="center"/>
      <protection/>
    </xf>
    <xf numFmtId="0" fontId="0" fillId="0" borderId="11" xfId="21" applyBorder="1" applyAlignment="1">
      <alignment vertical="center"/>
      <protection/>
    </xf>
    <xf numFmtId="0" fontId="10" fillId="0" borderId="21" xfId="0" applyFont="1" applyBorder="1" applyAlignment="1" applyProtection="1">
      <alignment vertical="center" wrapText="1"/>
      <protection/>
    </xf>
    <xf numFmtId="0" fontId="10" fillId="0" borderId="48" xfId="0" applyFont="1" applyBorder="1" applyAlignment="1" applyProtection="1">
      <alignment vertical="center" wrapText="1"/>
      <protection/>
    </xf>
    <xf numFmtId="0" fontId="9" fillId="0" borderId="49" xfId="0" applyFont="1" applyBorder="1" applyAlignment="1" applyProtection="1">
      <alignment vertical="center" wrapText="1"/>
      <protection/>
    </xf>
    <xf numFmtId="0" fontId="9" fillId="0" borderId="50" xfId="0" applyFont="1" applyBorder="1" applyAlignment="1" applyProtection="1">
      <alignment vertical="center" wrapText="1"/>
      <protection/>
    </xf>
    <xf numFmtId="1" fontId="10" fillId="0" borderId="21" xfId="0" applyNumberFormat="1" applyFont="1" applyBorder="1" applyAlignment="1">
      <alignment vertical="center" wrapText="1"/>
    </xf>
    <xf numFmtId="0" fontId="10" fillId="0" borderId="21" xfId="0" applyFont="1" applyBorder="1" applyAlignment="1">
      <alignment vertical="center" wrapText="1"/>
    </xf>
    <xf numFmtId="0" fontId="10" fillId="0" borderId="48" xfId="0" applyFont="1" applyBorder="1" applyAlignment="1">
      <alignment vertical="center" wrapText="1"/>
    </xf>
    <xf numFmtId="0" fontId="9" fillId="0" borderId="49" xfId="0" applyFont="1" applyBorder="1" applyAlignment="1">
      <alignment vertical="center" wrapText="1"/>
    </xf>
    <xf numFmtId="0" fontId="9" fillId="0" borderId="50" xfId="0" applyFont="1" applyBorder="1" applyAlignment="1">
      <alignment vertical="center" wrapText="1"/>
    </xf>
    <xf numFmtId="1" fontId="9" fillId="0" borderId="49" xfId="0" applyNumberFormat="1" applyFont="1" applyBorder="1" applyAlignment="1">
      <alignment vertical="center" wrapText="1"/>
    </xf>
    <xf numFmtId="2" fontId="8" fillId="0" borderId="49" xfId="0" applyNumberFormat="1" applyFont="1" applyBorder="1" applyAlignment="1" applyProtection="1">
      <alignment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8" fillId="0" borderId="51" xfId="0" applyFont="1" applyBorder="1" applyAlignment="1">
      <alignment vertical="center"/>
    </xf>
    <xf numFmtId="0" fontId="7" fillId="0" borderId="1" xfId="0" applyFont="1" applyBorder="1" applyAlignment="1">
      <alignment vertical="center"/>
    </xf>
    <xf numFmtId="1" fontId="8" fillId="0" borderId="13" xfId="0" applyNumberFormat="1" applyFont="1" applyBorder="1" applyAlignment="1" applyProtection="1">
      <alignment horizontal="center" vertical="center"/>
      <protection/>
    </xf>
    <xf numFmtId="0" fontId="0" fillId="0" borderId="13" xfId="0" applyBorder="1" applyAlignment="1">
      <alignment/>
    </xf>
    <xf numFmtId="1" fontId="8" fillId="0" borderId="21" xfId="0" applyNumberFormat="1" applyFont="1" applyBorder="1" applyAlignment="1" applyProtection="1">
      <alignment horizontal="center" vertical="center"/>
      <protection/>
    </xf>
    <xf numFmtId="1" fontId="8" fillId="0" borderId="23" xfId="0" applyNumberFormat="1" applyFont="1" applyBorder="1" applyAlignment="1" applyProtection="1">
      <alignment horizontal="center" vertical="center"/>
      <protection/>
    </xf>
    <xf numFmtId="0" fontId="18" fillId="0" borderId="1" xfId="0" applyFont="1" applyBorder="1" applyAlignment="1">
      <alignment vertical="center" wrapText="1"/>
    </xf>
    <xf numFmtId="0" fontId="18" fillId="0" borderId="14" xfId="0" applyFont="1" applyBorder="1" applyAlignment="1">
      <alignment vertical="center" wrapText="1"/>
    </xf>
    <xf numFmtId="0" fontId="7" fillId="0" borderId="13" xfId="0" applyFont="1" applyBorder="1" applyAlignment="1">
      <alignment vertical="center"/>
    </xf>
    <xf numFmtId="0" fontId="7" fillId="4" borderId="17" xfId="0" applyFont="1" applyFill="1" applyBorder="1" applyAlignment="1">
      <alignment vertical="center"/>
    </xf>
    <xf numFmtId="0" fontId="8" fillId="4" borderId="17" xfId="0" applyFont="1" applyFill="1" applyBorder="1" applyAlignment="1">
      <alignment vertical="center"/>
    </xf>
    <xf numFmtId="1" fontId="8" fillId="4" borderId="17" xfId="0" applyNumberFormat="1" applyFont="1" applyFill="1" applyBorder="1" applyAlignment="1" applyProtection="1">
      <alignment horizontal="center" vertical="center"/>
      <protection/>
    </xf>
    <xf numFmtId="0" fontId="8" fillId="4" borderId="18" xfId="0" applyFont="1" applyFill="1" applyBorder="1" applyAlignment="1">
      <alignment vertical="center"/>
    </xf>
    <xf numFmtId="1" fontId="8" fillId="4" borderId="19" xfId="0" applyNumberFormat="1" applyFont="1" applyFill="1" applyBorder="1" applyAlignment="1" applyProtection="1">
      <alignment horizontal="center" vertical="center"/>
      <protection/>
    </xf>
    <xf numFmtId="0" fontId="7" fillId="4" borderId="17" xfId="0" applyFont="1" applyFill="1" applyBorder="1" applyAlignment="1">
      <alignment/>
    </xf>
    <xf numFmtId="0" fontId="0" fillId="4" borderId="17" xfId="0" applyFill="1" applyBorder="1" applyAlignment="1">
      <alignment/>
    </xf>
    <xf numFmtId="0" fontId="0" fillId="4" borderId="17" xfId="0" applyFill="1" applyBorder="1" applyAlignment="1">
      <alignment horizontal="center"/>
    </xf>
    <xf numFmtId="0" fontId="0" fillId="4" borderId="18" xfId="0" applyFill="1" applyBorder="1" applyAlignment="1">
      <alignment/>
    </xf>
    <xf numFmtId="0" fontId="0" fillId="4" borderId="19" xfId="0" applyFill="1" applyBorder="1" applyAlignment="1">
      <alignment/>
    </xf>
    <xf numFmtId="2" fontId="8" fillId="0" borderId="50" xfId="0" applyNumberFormat="1" applyFont="1" applyBorder="1" applyAlignment="1" applyProtection="1">
      <alignment vertical="center"/>
      <protection/>
    </xf>
    <xf numFmtId="0" fontId="7" fillId="0" borderId="17" xfId="0" applyFont="1" applyBorder="1" applyAlignment="1">
      <alignment horizontal="center"/>
    </xf>
    <xf numFmtId="1" fontId="8" fillId="0" borderId="17" xfId="0" applyNumberFormat="1" applyFont="1" applyBorder="1" applyAlignment="1" applyProtection="1">
      <alignment horizontal="center" vertical="center"/>
      <protection/>
    </xf>
    <xf numFmtId="0" fontId="10" fillId="0" borderId="17" xfId="0" applyFont="1" applyBorder="1" applyAlignment="1">
      <alignment horizontal="center" vertical="center" wrapText="1"/>
    </xf>
    <xf numFmtId="2" fontId="8" fillId="0" borderId="17" xfId="0" applyNumberFormat="1" applyFont="1" applyBorder="1" applyAlignment="1" applyProtection="1">
      <alignment vertical="center"/>
      <protection/>
    </xf>
    <xf numFmtId="2" fontId="8" fillId="0" borderId="11" xfId="0" applyNumberFormat="1" applyFont="1" applyBorder="1" applyAlignment="1" applyProtection="1">
      <alignment vertical="center"/>
      <protection/>
    </xf>
    <xf numFmtId="0" fontId="1" fillId="0" borderId="52" xfId="0" applyFont="1" applyBorder="1" applyAlignment="1">
      <alignment horizontal="center" vertical="center"/>
    </xf>
    <xf numFmtId="0" fontId="1" fillId="0" borderId="53" xfId="0" applyFont="1" applyBorder="1" applyAlignment="1">
      <alignment horizontal="center" vertical="center"/>
    </xf>
    <xf numFmtId="176" fontId="0" fillId="0" borderId="0" xfId="0" applyNumberFormat="1" applyAlignment="1">
      <alignment vertical="center"/>
    </xf>
    <xf numFmtId="0" fontId="8" fillId="0" borderId="40"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center" vertical="center"/>
    </xf>
    <xf numFmtId="0" fontId="0" fillId="0" borderId="0" xfId="0" applyAlignment="1" applyProtection="1">
      <alignment horizontal="center" vertical="center"/>
      <protection locked="0"/>
    </xf>
    <xf numFmtId="0" fontId="8" fillId="0" borderId="54" xfId="0" applyFont="1" applyFill="1" applyBorder="1" applyAlignment="1">
      <alignment horizontal="left" vertical="center"/>
    </xf>
    <xf numFmtId="0" fontId="8" fillId="0" borderId="55" xfId="0" applyFont="1" applyFill="1" applyBorder="1" applyAlignment="1">
      <alignment horizontal="center" vertical="center"/>
    </xf>
    <xf numFmtId="0" fontId="8" fillId="0" borderId="39" xfId="0" applyFont="1" applyBorder="1" applyAlignment="1">
      <alignment horizontal="left" vertical="center"/>
    </xf>
    <xf numFmtId="0" fontId="8" fillId="0" borderId="40" xfId="0" applyFont="1" applyBorder="1" applyAlignment="1">
      <alignment horizontal="center" vertical="center"/>
    </xf>
    <xf numFmtId="0" fontId="8" fillId="0" borderId="0" xfId="0" applyFont="1" applyAlignment="1">
      <alignment/>
    </xf>
    <xf numFmtId="1" fontId="8" fillId="0" borderId="43" xfId="0" applyNumberFormat="1" applyFont="1" applyBorder="1" applyAlignment="1">
      <alignment horizontal="center" vertical="center"/>
    </xf>
    <xf numFmtId="0" fontId="15" fillId="0" borderId="0" xfId="21" applyFont="1" applyAlignment="1">
      <alignment horizontal="center" vertical="center"/>
      <protection/>
    </xf>
    <xf numFmtId="0" fontId="15" fillId="0" borderId="0" xfId="21" applyFont="1" applyAlignment="1" quotePrefix="1">
      <alignment horizontal="center" vertical="center"/>
      <protection/>
    </xf>
    <xf numFmtId="0" fontId="0" fillId="0" borderId="0" xfId="21" applyBorder="1" applyAlignment="1">
      <alignment horizontal="center" vertical="center"/>
      <protection/>
    </xf>
    <xf numFmtId="0" fontId="8" fillId="0" borderId="56" xfId="21" applyFont="1" applyBorder="1" applyAlignment="1">
      <alignment horizontal="center" vertical="center"/>
      <protection/>
    </xf>
    <xf numFmtId="1" fontId="12" fillId="1" borderId="49" xfId="21" applyNumberFormat="1" applyFont="1" applyFill="1" applyBorder="1" applyAlignment="1">
      <alignment horizontal="center" vertical="center" wrapText="1"/>
      <protection/>
    </xf>
    <xf numFmtId="1" fontId="12" fillId="1" borderId="21" xfId="21" applyNumberFormat="1" applyFont="1" applyFill="1" applyBorder="1" applyAlignment="1">
      <alignment horizontal="center" vertical="center" wrapText="1"/>
      <protection/>
    </xf>
    <xf numFmtId="1" fontId="23" fillId="0" borderId="57" xfId="21" applyNumberFormat="1" applyFont="1" applyBorder="1" applyAlignment="1">
      <alignment horizontal="center" vertical="center"/>
      <protection/>
    </xf>
    <xf numFmtId="1" fontId="12" fillId="0" borderId="7" xfId="21" applyNumberFormat="1" applyFont="1" applyFill="1" applyBorder="1" applyAlignment="1">
      <alignment horizontal="center" vertical="center" wrapText="1"/>
      <protection/>
    </xf>
    <xf numFmtId="1" fontId="12" fillId="0" borderId="11" xfId="21" applyNumberFormat="1" applyFont="1" applyFill="1" applyBorder="1" applyAlignment="1">
      <alignment horizontal="center" vertical="center" wrapText="1"/>
      <protection/>
    </xf>
    <xf numFmtId="0" fontId="8" fillId="0" borderId="1" xfId="0" applyFont="1" applyBorder="1" applyAlignment="1">
      <alignment vertical="center"/>
    </xf>
    <xf numFmtId="0" fontId="8" fillId="0" borderId="58" xfId="0" applyFont="1" applyBorder="1" applyAlignment="1">
      <alignment vertical="center"/>
    </xf>
    <xf numFmtId="0" fontId="8" fillId="0" borderId="22" xfId="0" applyFont="1" applyBorder="1" applyAlignment="1">
      <alignment vertical="center"/>
    </xf>
    <xf numFmtId="0" fontId="9" fillId="0" borderId="18"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FIN-A" xfId="20"/>
    <cellStyle name="Standard_Spielblätter ZH-Doppel" xfId="21"/>
    <cellStyle name="Currency" xfId="22"/>
    <cellStyle name="Currency [0]" xfId="23"/>
  </cellStyles>
  <dxfs count="3">
    <dxf>
      <font>
        <b/>
        <i val="0"/>
      </font>
      <border/>
    </dxf>
    <dxf>
      <font>
        <b/>
        <i val="0"/>
        <color rgb="FFFF0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13"/>
  <sheetViews>
    <sheetView tabSelected="1" zoomScale="75" zoomScaleNormal="75" workbookViewId="0" topLeftCell="A1">
      <pane xSplit="6" ySplit="3" topLeftCell="G4" activePane="bottomRight" state="frozen"/>
      <selection pane="topLeft" activeCell="A1" sqref="A1"/>
      <selection pane="topRight" activeCell="G1" sqref="G1"/>
      <selection pane="bottomLeft" activeCell="A4" sqref="A4"/>
      <selection pane="bottomRight" activeCell="G4" sqref="G4"/>
    </sheetView>
  </sheetViews>
  <sheetFormatPr defaultColWidth="11.421875" defaultRowHeight="12.75"/>
  <cols>
    <col min="1" max="1" width="7.28125" style="14" customWidth="1"/>
    <col min="2" max="2" width="6.00390625" style="0" hidden="1" customWidth="1"/>
    <col min="3" max="3" width="28.140625" style="3" bestFit="1" customWidth="1"/>
    <col min="4" max="4" width="5.00390625" style="7" customWidth="1"/>
    <col min="5" max="6" width="5.8515625" style="7" customWidth="1"/>
    <col min="7" max="12" width="8.00390625" style="18" customWidth="1"/>
    <col min="13" max="13" width="8.57421875" style="18" customWidth="1"/>
    <col min="14" max="25" width="8.00390625" style="18" customWidth="1"/>
    <col min="26" max="27" width="9.140625" style="18" customWidth="1"/>
    <col min="28" max="28" width="8.28125" style="20" customWidth="1"/>
    <col min="29" max="30" width="8.00390625" style="18" customWidth="1"/>
    <col min="31" max="31" width="9.28125" style="21" customWidth="1"/>
    <col min="32" max="32" width="11.421875" style="0" hidden="1" customWidth="1"/>
    <col min="33" max="33" width="12.57421875" style="0" bestFit="1" customWidth="1"/>
  </cols>
  <sheetData>
    <row r="1" spans="2:31" ht="48.75" customHeight="1" thickBot="1">
      <c r="B1" s="34"/>
      <c r="C1" s="34"/>
      <c r="D1" s="34"/>
      <c r="E1" s="34"/>
      <c r="F1" s="34"/>
      <c r="G1" s="34"/>
      <c r="H1" s="34"/>
      <c r="I1" s="34"/>
      <c r="J1" s="34"/>
      <c r="K1" s="34"/>
      <c r="O1" s="128" t="s">
        <v>170</v>
      </c>
      <c r="P1" s="34"/>
      <c r="Q1" s="34"/>
      <c r="R1" s="34"/>
      <c r="S1" s="34"/>
      <c r="T1" s="34"/>
      <c r="U1" s="34"/>
      <c r="V1" s="34"/>
      <c r="W1" s="34"/>
      <c r="X1" s="34"/>
      <c r="Y1" s="34"/>
      <c r="Z1" s="34"/>
      <c r="AA1" s="34"/>
      <c r="AB1" s="195"/>
      <c r="AC1" s="34"/>
      <c r="AD1" s="34"/>
      <c r="AE1" s="34"/>
    </row>
    <row r="2" spans="1:31" ht="22.5" customHeight="1" thickBot="1">
      <c r="A2" s="180"/>
      <c r="B2" s="181"/>
      <c r="C2" s="182"/>
      <c r="D2" s="183"/>
      <c r="E2" s="183"/>
      <c r="F2" s="183"/>
      <c r="G2" s="184"/>
      <c r="H2" s="185"/>
      <c r="I2" s="186" t="s">
        <v>76</v>
      </c>
      <c r="J2" s="185"/>
      <c r="K2" s="185"/>
      <c r="L2" s="187"/>
      <c r="M2" s="185"/>
      <c r="N2" s="185"/>
      <c r="O2" s="184"/>
      <c r="P2" s="185"/>
      <c r="Q2" s="186" t="s">
        <v>77</v>
      </c>
      <c r="R2" s="187"/>
      <c r="S2" s="184"/>
      <c r="T2" s="185"/>
      <c r="U2" s="185"/>
      <c r="V2" s="185"/>
      <c r="W2" s="190" t="s">
        <v>78</v>
      </c>
      <c r="X2" s="185"/>
      <c r="Y2" s="187"/>
      <c r="Z2" s="185"/>
      <c r="AA2" s="185"/>
      <c r="AB2" s="188"/>
      <c r="AC2" s="185"/>
      <c r="AD2" s="185"/>
      <c r="AE2" s="189"/>
    </row>
    <row r="3" spans="1:31" s="12" customFormat="1" ht="33" customHeight="1">
      <c r="A3" s="173" t="s">
        <v>0</v>
      </c>
      <c r="B3" s="174"/>
      <c r="C3" s="175" t="s">
        <v>1</v>
      </c>
      <c r="D3" s="170" t="s">
        <v>2</v>
      </c>
      <c r="E3" s="170" t="s">
        <v>3</v>
      </c>
      <c r="F3" s="176" t="s">
        <v>4</v>
      </c>
      <c r="G3" s="170" t="s">
        <v>5</v>
      </c>
      <c r="H3" s="170" t="s">
        <v>6</v>
      </c>
      <c r="I3" s="170" t="s">
        <v>7</v>
      </c>
      <c r="J3" s="170" t="s">
        <v>8</v>
      </c>
      <c r="K3" s="170" t="s">
        <v>9</v>
      </c>
      <c r="L3" s="319" t="s">
        <v>10</v>
      </c>
      <c r="M3" s="170" t="s">
        <v>55</v>
      </c>
      <c r="N3" s="320" t="s">
        <v>82</v>
      </c>
      <c r="O3" s="172" t="s">
        <v>5</v>
      </c>
      <c r="P3" s="170" t="s">
        <v>6</v>
      </c>
      <c r="Q3" s="170" t="s">
        <v>7</v>
      </c>
      <c r="R3" s="171" t="s">
        <v>8</v>
      </c>
      <c r="S3" s="172" t="s">
        <v>5</v>
      </c>
      <c r="T3" s="170" t="s">
        <v>6</v>
      </c>
      <c r="U3" s="170" t="s">
        <v>7</v>
      </c>
      <c r="V3" s="170" t="s">
        <v>8</v>
      </c>
      <c r="W3" s="170" t="s">
        <v>9</v>
      </c>
      <c r="X3" s="170" t="s">
        <v>10</v>
      </c>
      <c r="Y3" s="171" t="s">
        <v>55</v>
      </c>
      <c r="Z3" s="177" t="s">
        <v>79</v>
      </c>
      <c r="AA3" s="170" t="s">
        <v>75</v>
      </c>
      <c r="AB3" s="178" t="s">
        <v>80</v>
      </c>
      <c r="AC3" s="170" t="s">
        <v>3</v>
      </c>
      <c r="AD3" s="170" t="s">
        <v>11</v>
      </c>
      <c r="AE3" s="179" t="s">
        <v>13</v>
      </c>
    </row>
    <row r="4" spans="1:36" s="12" customFormat="1" ht="18" customHeight="1">
      <c r="A4" s="144">
        <v>1</v>
      </c>
      <c r="B4" s="133">
        <v>21</v>
      </c>
      <c r="C4" s="134" t="s">
        <v>178</v>
      </c>
      <c r="D4" s="135" t="s">
        <v>99</v>
      </c>
      <c r="E4" s="135">
        <v>11</v>
      </c>
      <c r="F4" s="135" t="s">
        <v>166</v>
      </c>
      <c r="G4" s="136">
        <f>VLOOKUP($C4,Quali!$B:$N,6,0)</f>
        <v>178</v>
      </c>
      <c r="H4" s="136">
        <f>VLOOKUP($C4,Quali!$B:$N,7,0)</f>
        <v>233</v>
      </c>
      <c r="I4" s="136">
        <f>VLOOKUP($C4,Quali!$B:$N,8,0)</f>
        <v>177</v>
      </c>
      <c r="J4" s="136">
        <f>VLOOKUP($C4,Quali!$B:$N,9,0)</f>
        <v>219</v>
      </c>
      <c r="K4" s="136">
        <f>VLOOKUP($C4,Quali!$B:$N,10,0)</f>
        <v>193</v>
      </c>
      <c r="L4" s="136">
        <f>VLOOKUP($C4,Quali!$B:$N,11,0)</f>
        <v>258</v>
      </c>
      <c r="M4" s="136">
        <f>VLOOKUP($C4,Quali!$B:$N,12,0)</f>
        <v>193</v>
      </c>
      <c r="N4" s="142">
        <f>VLOOKUP($C4,Quali!$B:$N,13,0)</f>
        <v>159</v>
      </c>
      <c r="O4" s="140">
        <f>VLOOKUP($C4,'Zwischenrunde 16'!$B:$J,6,0)</f>
        <v>246</v>
      </c>
      <c r="P4" s="136">
        <f>VLOOKUP($C4,'Zwischenrunde 16'!$B:$J,7,0)</f>
        <v>224</v>
      </c>
      <c r="Q4" s="136">
        <f>VLOOKUP($C4,'Zwischenrunde 16'!$B:$J,8,0)</f>
        <v>202</v>
      </c>
      <c r="R4" s="142">
        <f>VLOOKUP($C4,'Zwischenrunde 16'!$B:$J,9,0)</f>
        <v>235</v>
      </c>
      <c r="S4" s="140">
        <f>VLOOKUP($C4,'Petersen-Rangliste'!$B$23:$M$38,6,0)</f>
        <v>176</v>
      </c>
      <c r="T4" s="136">
        <f>VLOOKUP($C4,'Petersen-Rangliste'!$B$23:$M$38,7,0)</f>
        <v>162</v>
      </c>
      <c r="U4" s="136">
        <f>VLOOKUP($C4,'Petersen-Rangliste'!$B$23:$M$38,8,0)</f>
        <v>221</v>
      </c>
      <c r="V4" s="136">
        <f>VLOOKUP($C4,'Petersen-Rangliste'!$B$23:$M$38,9,0)</f>
        <v>213</v>
      </c>
      <c r="W4" s="136">
        <f>VLOOKUP($C4,'Petersen-Rangliste'!$B$23:$M$38,10,0)</f>
        <v>209</v>
      </c>
      <c r="X4" s="136">
        <f>VLOOKUP($C4,'Petersen-Rangliste'!$B$23:$M$38,11,0)</f>
        <v>212</v>
      </c>
      <c r="Y4" s="142">
        <f>VLOOKUP($C4,'Petersen-Rangliste'!$B$23:$M$38,12,0)</f>
        <v>203</v>
      </c>
      <c r="Z4" s="140">
        <f>SUM(G4:Y4)</f>
        <v>3913</v>
      </c>
      <c r="AA4" s="136">
        <f>COUNT(G4:Y4)</f>
        <v>19</v>
      </c>
      <c r="AB4" s="137">
        <f>Z4/AA4</f>
        <v>205.94736842105263</v>
      </c>
      <c r="AC4" s="135">
        <f>E4*AA4</f>
        <v>209</v>
      </c>
      <c r="AD4" s="135">
        <f aca="true" t="shared" si="0" ref="AD4:AD35">Z4+AC4</f>
        <v>4122</v>
      </c>
      <c r="AE4" s="145">
        <f>AE5</f>
        <v>8323</v>
      </c>
      <c r="AF4" s="16"/>
      <c r="AJ4" s="19"/>
    </row>
    <row r="5" spans="1:36" s="12" customFormat="1" ht="18" customHeight="1">
      <c r="A5" s="144"/>
      <c r="B5" s="133">
        <v>22</v>
      </c>
      <c r="C5" s="134" t="s">
        <v>175</v>
      </c>
      <c r="D5" s="135" t="s">
        <v>125</v>
      </c>
      <c r="E5" s="135">
        <v>10</v>
      </c>
      <c r="F5" s="135" t="s">
        <v>166</v>
      </c>
      <c r="G5" s="136">
        <f>VLOOKUP($C5,Quali!$B:$N,6,0)</f>
        <v>205</v>
      </c>
      <c r="H5" s="136">
        <f>VLOOKUP($C5,Quali!$B:$N,7,0)</f>
        <v>192</v>
      </c>
      <c r="I5" s="136">
        <f>VLOOKUP($C5,Quali!$B:$N,8,0)</f>
        <v>235</v>
      </c>
      <c r="J5" s="136">
        <f>VLOOKUP($C5,Quali!$B:$N,9,0)</f>
        <v>234</v>
      </c>
      <c r="K5" s="136">
        <f>VLOOKUP($C5,Quali!$B:$N,10,0)</f>
        <v>224</v>
      </c>
      <c r="L5" s="136">
        <f>VLOOKUP($C5,Quali!$B:$N,11,0)</f>
        <v>205</v>
      </c>
      <c r="M5" s="136">
        <f>VLOOKUP($C5,Quali!$B:$N,12,0)</f>
        <v>202</v>
      </c>
      <c r="N5" s="142">
        <f>VLOOKUP($C5,Quali!$B:$N,13,0)</f>
        <v>224</v>
      </c>
      <c r="O5" s="141">
        <f>VLOOKUP($C5,'Zwischenrunde 16'!$B:$J,6,0)</f>
        <v>199</v>
      </c>
      <c r="P5" s="135">
        <f>VLOOKUP($C5,'Zwischenrunde 16'!$B:$J,7,0)</f>
        <v>206</v>
      </c>
      <c r="Q5" s="135">
        <f>VLOOKUP($C5,'Zwischenrunde 16'!$B:$J,8,0)</f>
        <v>226</v>
      </c>
      <c r="R5" s="143">
        <f>VLOOKUP($C5,'Zwischenrunde 16'!$B:$J,9,0)</f>
        <v>177</v>
      </c>
      <c r="S5" s="141">
        <f>VLOOKUP($C5,'Petersen-Rangliste'!$B$23:$M$38,6,0)</f>
        <v>177</v>
      </c>
      <c r="T5" s="135">
        <f>VLOOKUP($C5,'Petersen-Rangliste'!$B$23:$M$38,7,0)</f>
        <v>190</v>
      </c>
      <c r="U5" s="135">
        <f>VLOOKUP($C5,'Petersen-Rangliste'!$B$23:$M$38,8,0)</f>
        <v>215</v>
      </c>
      <c r="V5" s="135">
        <f>VLOOKUP($C5,'Petersen-Rangliste'!$B$23:$M$38,9,0)</f>
        <v>300</v>
      </c>
      <c r="W5" s="135">
        <f>VLOOKUP($C5,'Petersen-Rangliste'!$B$23:$M$38,10,0)</f>
        <v>231</v>
      </c>
      <c r="X5" s="135">
        <f>VLOOKUP($C5,'Petersen-Rangliste'!$B$23:$M$38,11,0)</f>
        <v>199</v>
      </c>
      <c r="Y5" s="143">
        <f>VLOOKUP($C5,'Petersen-Rangliste'!$B$23:$M$38,12,0)</f>
        <v>170</v>
      </c>
      <c r="Z5" s="141">
        <f aca="true" t="shared" si="1" ref="Z5:Z68">SUM(G5:Y5)</f>
        <v>4011</v>
      </c>
      <c r="AA5" s="135">
        <f aca="true" t="shared" si="2" ref="AA5:AA68">COUNT(G5:Y5)</f>
        <v>19</v>
      </c>
      <c r="AB5" s="137">
        <f aca="true" t="shared" si="3" ref="AB5:AB68">Z5/AA5</f>
        <v>211.10526315789474</v>
      </c>
      <c r="AC5" s="135">
        <f aca="true" t="shared" si="4" ref="AC5:AC68">E5*AA5</f>
        <v>190</v>
      </c>
      <c r="AD5" s="135">
        <f t="shared" si="0"/>
        <v>4201</v>
      </c>
      <c r="AE5" s="146">
        <f>SUM(AD4:AD5)</f>
        <v>8323</v>
      </c>
      <c r="AF5" s="16">
        <f>AE5/2</f>
        <v>4161.5</v>
      </c>
      <c r="AG5" s="321">
        <f>(Z4+Z5)/38</f>
        <v>208.52631578947367</v>
      </c>
      <c r="AJ5" s="19"/>
    </row>
    <row r="6" spans="1:36" s="12" customFormat="1" ht="18" customHeight="1">
      <c r="A6" s="144">
        <v>2</v>
      </c>
      <c r="B6" s="133">
        <v>23</v>
      </c>
      <c r="C6" s="134" t="s">
        <v>182</v>
      </c>
      <c r="D6" s="135" t="s">
        <v>99</v>
      </c>
      <c r="E6" s="135">
        <v>8</v>
      </c>
      <c r="F6" s="135"/>
      <c r="G6" s="136">
        <f>VLOOKUP($C6,Quali!$B:$N,6,0)</f>
        <v>169</v>
      </c>
      <c r="H6" s="136">
        <f>VLOOKUP($C6,Quali!$B:$N,7,0)</f>
        <v>203</v>
      </c>
      <c r="I6" s="136">
        <f>VLOOKUP($C6,Quali!$B:$N,8,0)</f>
        <v>167</v>
      </c>
      <c r="J6" s="136">
        <f>VLOOKUP($C6,Quali!$B:$N,9,0)</f>
        <v>245</v>
      </c>
      <c r="K6" s="136">
        <f>VLOOKUP($C6,Quali!$B:$N,10,0)</f>
        <v>232</v>
      </c>
      <c r="L6" s="136">
        <f>VLOOKUP($C6,Quali!$B:$N,11,0)</f>
        <v>201</v>
      </c>
      <c r="M6" s="136">
        <f>VLOOKUP($C6,Quali!$B:$N,12,0)</f>
        <v>182</v>
      </c>
      <c r="N6" s="142">
        <f>VLOOKUP($C6,Quali!$B:$N,13,0)</f>
        <v>142</v>
      </c>
      <c r="O6" s="140">
        <f>VLOOKUP($C6,'Zwischenrunde 16'!$B:$J,6,0)</f>
        <v>189</v>
      </c>
      <c r="P6" s="136">
        <f>VLOOKUP($C6,'Zwischenrunde 16'!$B:$J,7,0)</f>
        <v>191</v>
      </c>
      <c r="Q6" s="136">
        <f>VLOOKUP($C6,'Zwischenrunde 16'!$B:$J,8,0)</f>
        <v>191</v>
      </c>
      <c r="R6" s="142">
        <f>VLOOKUP($C6,'Zwischenrunde 16'!$B:$J,9,0)</f>
        <v>214</v>
      </c>
      <c r="S6" s="140">
        <f>VLOOKUP($C6,'Petersen-Rangliste'!$B$23:$M$38,6,0)</f>
        <v>203</v>
      </c>
      <c r="T6" s="136">
        <f>VLOOKUP($C6,'Petersen-Rangliste'!$B$23:$M$38,7,0)</f>
        <v>176</v>
      </c>
      <c r="U6" s="136">
        <f>VLOOKUP($C6,'Petersen-Rangliste'!$B$23:$M$38,8,0)</f>
        <v>159</v>
      </c>
      <c r="V6" s="136">
        <f>VLOOKUP($C6,'Petersen-Rangliste'!$B$23:$M$38,9,0)</f>
        <v>202</v>
      </c>
      <c r="W6" s="136">
        <f>VLOOKUP($C6,'Petersen-Rangliste'!$B$23:$M$38,10,0)</f>
        <v>201</v>
      </c>
      <c r="X6" s="136">
        <f>VLOOKUP($C6,'Petersen-Rangliste'!$B$23:$M$38,11,0)</f>
        <v>233</v>
      </c>
      <c r="Y6" s="142">
        <f>VLOOKUP($C6,'Petersen-Rangliste'!$B$23:$M$38,12,0)</f>
        <v>205</v>
      </c>
      <c r="Z6" s="140">
        <f t="shared" si="1"/>
        <v>3705</v>
      </c>
      <c r="AA6" s="136">
        <f t="shared" si="2"/>
        <v>19</v>
      </c>
      <c r="AB6" s="137">
        <f t="shared" si="3"/>
        <v>195</v>
      </c>
      <c r="AC6" s="135">
        <f t="shared" si="4"/>
        <v>152</v>
      </c>
      <c r="AD6" s="135">
        <f t="shared" si="0"/>
        <v>3857</v>
      </c>
      <c r="AE6" s="145">
        <f>AE7</f>
        <v>7932</v>
      </c>
      <c r="AF6" s="16"/>
      <c r="AG6" s="321"/>
      <c r="AJ6" s="19"/>
    </row>
    <row r="7" spans="1:36" s="12" customFormat="1" ht="18" customHeight="1">
      <c r="A7" s="144"/>
      <c r="B7" s="133">
        <v>24</v>
      </c>
      <c r="C7" s="134" t="s">
        <v>122</v>
      </c>
      <c r="D7" s="135" t="s">
        <v>99</v>
      </c>
      <c r="E7" s="135">
        <v>0</v>
      </c>
      <c r="F7" s="135"/>
      <c r="G7" s="136">
        <f>VLOOKUP($C7,Quali!$B:$N,6,0)</f>
        <v>290</v>
      </c>
      <c r="H7" s="136">
        <f>VLOOKUP($C7,Quali!$B:$N,7,0)</f>
        <v>146</v>
      </c>
      <c r="I7" s="136">
        <f>VLOOKUP($C7,Quali!$B:$N,8,0)</f>
        <v>206</v>
      </c>
      <c r="J7" s="136">
        <f>VLOOKUP($C7,Quali!$B:$N,9,0)</f>
        <v>183</v>
      </c>
      <c r="K7" s="136">
        <f>VLOOKUP($C7,Quali!$B:$N,10,0)</f>
        <v>203</v>
      </c>
      <c r="L7" s="136">
        <f>VLOOKUP($C7,Quali!$B:$N,11,0)</f>
        <v>249</v>
      </c>
      <c r="M7" s="136">
        <f>VLOOKUP($C7,Quali!$B:$N,12,0)</f>
        <v>234</v>
      </c>
      <c r="N7" s="142">
        <f>VLOOKUP($C7,Quali!$B:$N,13,0)</f>
        <v>183</v>
      </c>
      <c r="O7" s="141">
        <f>VLOOKUP($C7,'Zwischenrunde 16'!$B:$J,6,0)</f>
        <v>187</v>
      </c>
      <c r="P7" s="135">
        <f>VLOOKUP($C7,'Zwischenrunde 16'!$B:$J,7,0)</f>
        <v>223</v>
      </c>
      <c r="Q7" s="135">
        <f>VLOOKUP($C7,'Zwischenrunde 16'!$B:$J,8,0)</f>
        <v>202</v>
      </c>
      <c r="R7" s="143">
        <f>VLOOKUP($C7,'Zwischenrunde 16'!$B:$J,9,0)</f>
        <v>226</v>
      </c>
      <c r="S7" s="141">
        <f>VLOOKUP($C7,'Petersen-Rangliste'!$B$23:$M$38,6,0)</f>
        <v>235</v>
      </c>
      <c r="T7" s="135">
        <f>VLOOKUP($C7,'Petersen-Rangliste'!$B$23:$M$38,7,0)</f>
        <v>238</v>
      </c>
      <c r="U7" s="135">
        <f>VLOOKUP($C7,'Petersen-Rangliste'!$B$23:$M$38,8,0)</f>
        <v>212</v>
      </c>
      <c r="V7" s="135">
        <f>VLOOKUP($C7,'Petersen-Rangliste'!$B$23:$M$38,9,0)</f>
        <v>224</v>
      </c>
      <c r="W7" s="135">
        <f>VLOOKUP($C7,'Petersen-Rangliste'!$B$23:$M$38,10,0)</f>
        <v>183</v>
      </c>
      <c r="X7" s="135">
        <f>VLOOKUP($C7,'Petersen-Rangliste'!$B$23:$M$38,11,0)</f>
        <v>193</v>
      </c>
      <c r="Y7" s="143">
        <f>VLOOKUP($C7,'Petersen-Rangliste'!$B$23:$M$38,12,0)</f>
        <v>258</v>
      </c>
      <c r="Z7" s="141">
        <f t="shared" si="1"/>
        <v>4075</v>
      </c>
      <c r="AA7" s="135">
        <f t="shared" si="2"/>
        <v>19</v>
      </c>
      <c r="AB7" s="137">
        <f t="shared" si="3"/>
        <v>214.47368421052633</v>
      </c>
      <c r="AC7" s="135">
        <f t="shared" si="4"/>
        <v>0</v>
      </c>
      <c r="AD7" s="135">
        <f t="shared" si="0"/>
        <v>4075</v>
      </c>
      <c r="AE7" s="146">
        <f>SUM(AD6:AD7)</f>
        <v>7932</v>
      </c>
      <c r="AF7" s="16">
        <f>AE7/2</f>
        <v>3966</v>
      </c>
      <c r="AG7" s="321">
        <f>(Z6+Z7)/38</f>
        <v>204.73684210526315</v>
      </c>
      <c r="AJ7" s="19"/>
    </row>
    <row r="8" spans="1:36" s="12" customFormat="1" ht="18" customHeight="1">
      <c r="A8" s="144">
        <v>3</v>
      </c>
      <c r="B8" s="133">
        <v>3</v>
      </c>
      <c r="C8" s="134" t="s">
        <v>142</v>
      </c>
      <c r="D8" s="135" t="s">
        <v>125</v>
      </c>
      <c r="E8" s="135">
        <v>13</v>
      </c>
      <c r="F8" s="135"/>
      <c r="G8" s="136">
        <f>VLOOKUP($C8,Quali!$B:$N,6,0)</f>
        <v>199</v>
      </c>
      <c r="H8" s="136">
        <f>VLOOKUP($C8,Quali!$B:$N,7,0)</f>
        <v>190</v>
      </c>
      <c r="I8" s="136">
        <f>VLOOKUP($C8,Quali!$B:$N,8,0)</f>
        <v>209</v>
      </c>
      <c r="J8" s="136">
        <f>VLOOKUP($C8,Quali!$B:$N,9,0)</f>
        <v>168</v>
      </c>
      <c r="K8" s="136">
        <f>VLOOKUP($C8,Quali!$B:$N,10,0)</f>
        <v>197</v>
      </c>
      <c r="L8" s="136">
        <f>VLOOKUP($C8,Quali!$B:$N,11,0)</f>
        <v>249</v>
      </c>
      <c r="M8" s="136">
        <f>VLOOKUP($C8,Quali!$B:$N,12,0)</f>
        <v>213</v>
      </c>
      <c r="N8" s="142">
        <f>VLOOKUP($C8,Quali!$B:$N,13,0)</f>
        <v>226</v>
      </c>
      <c r="O8" s="140">
        <f>VLOOKUP($C8,'Zwischenrunde 16'!$B:$J,6,0)</f>
        <v>200</v>
      </c>
      <c r="P8" s="136">
        <f>VLOOKUP($C8,'Zwischenrunde 16'!$B:$J,7,0)</f>
        <v>182</v>
      </c>
      <c r="Q8" s="136">
        <f>VLOOKUP($C8,'Zwischenrunde 16'!$B:$J,8,0)</f>
        <v>161</v>
      </c>
      <c r="R8" s="142">
        <f>VLOOKUP($C8,'Zwischenrunde 16'!$B:$J,9,0)</f>
        <v>159</v>
      </c>
      <c r="S8" s="140">
        <f>VLOOKUP($C8,'Petersen-Rangliste'!$B$23:$M$38,6,0)</f>
        <v>217</v>
      </c>
      <c r="T8" s="136">
        <f>VLOOKUP($C8,'Petersen-Rangliste'!$B$23:$M$38,7,0)</f>
        <v>200</v>
      </c>
      <c r="U8" s="136">
        <f>VLOOKUP($C8,'Petersen-Rangliste'!$B$23:$M$38,8,0)</f>
        <v>213</v>
      </c>
      <c r="V8" s="136">
        <f>VLOOKUP($C8,'Petersen-Rangliste'!$B$23:$M$38,9,0)</f>
        <v>225</v>
      </c>
      <c r="W8" s="136">
        <f>VLOOKUP($C8,'Petersen-Rangliste'!$B$23:$M$38,10,0)</f>
        <v>248</v>
      </c>
      <c r="X8" s="136">
        <f>VLOOKUP($C8,'Petersen-Rangliste'!$B$23:$M$38,11,0)</f>
        <v>177</v>
      </c>
      <c r="Y8" s="142">
        <f>VLOOKUP($C8,'Petersen-Rangliste'!$B$23:$M$38,12,0)</f>
        <v>148</v>
      </c>
      <c r="Z8" s="140">
        <f t="shared" si="1"/>
        <v>3781</v>
      </c>
      <c r="AA8" s="136">
        <f t="shared" si="2"/>
        <v>19</v>
      </c>
      <c r="AB8" s="137">
        <f t="shared" si="3"/>
        <v>199</v>
      </c>
      <c r="AC8" s="135">
        <f t="shared" si="4"/>
        <v>247</v>
      </c>
      <c r="AD8" s="135">
        <f t="shared" si="0"/>
        <v>4028</v>
      </c>
      <c r="AE8" s="145">
        <f>AE9</f>
        <v>8083</v>
      </c>
      <c r="AG8" s="321"/>
      <c r="AJ8" s="19"/>
    </row>
    <row r="9" spans="1:36" s="12" customFormat="1" ht="18" customHeight="1">
      <c r="A9" s="144"/>
      <c r="B9" s="133">
        <v>4</v>
      </c>
      <c r="C9" s="134" t="s">
        <v>143</v>
      </c>
      <c r="D9" s="135" t="s">
        <v>125</v>
      </c>
      <c r="E9" s="135">
        <v>10</v>
      </c>
      <c r="F9" s="135"/>
      <c r="G9" s="136">
        <f>VLOOKUP($C9,Quali!$B:$N,6,0)</f>
        <v>166</v>
      </c>
      <c r="H9" s="136">
        <f>VLOOKUP($C9,Quali!$B:$N,7,0)</f>
        <v>219</v>
      </c>
      <c r="I9" s="136">
        <f>VLOOKUP($C9,Quali!$B:$N,8,0)</f>
        <v>215</v>
      </c>
      <c r="J9" s="136">
        <f>VLOOKUP($C9,Quali!$B:$N,9,0)</f>
        <v>203</v>
      </c>
      <c r="K9" s="136">
        <f>VLOOKUP($C9,Quali!$B:$N,10,0)</f>
        <v>176</v>
      </c>
      <c r="L9" s="136">
        <f>VLOOKUP($C9,Quali!$B:$N,11,0)</f>
        <v>216</v>
      </c>
      <c r="M9" s="136">
        <f>VLOOKUP($C9,Quali!$B:$N,12,0)</f>
        <v>159</v>
      </c>
      <c r="N9" s="142">
        <f>VLOOKUP($C9,Quali!$B:$N,13,0)</f>
        <v>243</v>
      </c>
      <c r="O9" s="141">
        <f>VLOOKUP($C9,'Zwischenrunde 16'!$B:$J,6,0)</f>
        <v>247</v>
      </c>
      <c r="P9" s="135">
        <f>VLOOKUP($C9,'Zwischenrunde 16'!$B:$J,7,0)</f>
        <v>185</v>
      </c>
      <c r="Q9" s="135">
        <f>VLOOKUP($C9,'Zwischenrunde 16'!$B:$J,8,0)</f>
        <v>215</v>
      </c>
      <c r="R9" s="143">
        <f>VLOOKUP($C9,'Zwischenrunde 16'!$B:$J,9,0)</f>
        <v>223</v>
      </c>
      <c r="S9" s="141">
        <f>VLOOKUP($C9,'Petersen-Rangliste'!$B$23:$M$38,6,0)</f>
        <v>213</v>
      </c>
      <c r="T9" s="135">
        <f>VLOOKUP($C9,'Petersen-Rangliste'!$B$23:$M$38,7,0)</f>
        <v>236</v>
      </c>
      <c r="U9" s="135">
        <f>VLOOKUP($C9,'Petersen-Rangliste'!$B$23:$M$38,8,0)</f>
        <v>192</v>
      </c>
      <c r="V9" s="135">
        <f>VLOOKUP($C9,'Petersen-Rangliste'!$B$23:$M$38,9,0)</f>
        <v>216</v>
      </c>
      <c r="W9" s="135">
        <f>VLOOKUP($C9,'Petersen-Rangliste'!$B$23:$M$38,10,0)</f>
        <v>177</v>
      </c>
      <c r="X9" s="135">
        <f>VLOOKUP($C9,'Petersen-Rangliste'!$B$23:$M$38,11,0)</f>
        <v>201</v>
      </c>
      <c r="Y9" s="143">
        <f>VLOOKUP($C9,'Petersen-Rangliste'!$B$23:$M$38,12,0)</f>
        <v>163</v>
      </c>
      <c r="Z9" s="141">
        <f t="shared" si="1"/>
        <v>3865</v>
      </c>
      <c r="AA9" s="135">
        <f t="shared" si="2"/>
        <v>19</v>
      </c>
      <c r="AB9" s="137">
        <f t="shared" si="3"/>
        <v>203.42105263157896</v>
      </c>
      <c r="AC9" s="135">
        <f t="shared" si="4"/>
        <v>190</v>
      </c>
      <c r="AD9" s="135">
        <f t="shared" si="0"/>
        <v>4055</v>
      </c>
      <c r="AE9" s="146">
        <f>SUM(AD8:AD9)</f>
        <v>8083</v>
      </c>
      <c r="AF9" s="16">
        <f>AE9/2</f>
        <v>4041.5</v>
      </c>
      <c r="AG9" s="321">
        <f>(Z8+Z9)/38</f>
        <v>201.21052631578948</v>
      </c>
      <c r="AJ9" s="19"/>
    </row>
    <row r="10" spans="1:36" s="12" customFormat="1" ht="18" customHeight="1">
      <c r="A10" s="144">
        <v>4</v>
      </c>
      <c r="B10" s="133">
        <v>1</v>
      </c>
      <c r="C10" s="134" t="s">
        <v>150</v>
      </c>
      <c r="D10" s="135" t="s">
        <v>133</v>
      </c>
      <c r="E10" s="135">
        <v>2</v>
      </c>
      <c r="F10" s="135"/>
      <c r="G10" s="136">
        <f>VLOOKUP($C10,Quali!$B:$N,6,0)</f>
        <v>257</v>
      </c>
      <c r="H10" s="136">
        <f>VLOOKUP($C10,Quali!$B:$N,7,0)</f>
        <v>187</v>
      </c>
      <c r="I10" s="136">
        <f>VLOOKUP($C10,Quali!$B:$N,8,0)</f>
        <v>233</v>
      </c>
      <c r="J10" s="136">
        <f>VLOOKUP($C10,Quali!$B:$N,9,0)</f>
        <v>226</v>
      </c>
      <c r="K10" s="136">
        <f>VLOOKUP($C10,Quali!$B:$N,10,0)</f>
        <v>245</v>
      </c>
      <c r="L10" s="136">
        <f>VLOOKUP($C10,Quali!$B:$N,11,0)</f>
        <v>247</v>
      </c>
      <c r="M10" s="136">
        <f>VLOOKUP($C10,Quali!$B:$N,12,0)</f>
        <v>211</v>
      </c>
      <c r="N10" s="142">
        <f>VLOOKUP($C10,Quali!$B:$N,13,0)</f>
        <v>222</v>
      </c>
      <c r="O10" s="140">
        <f>VLOOKUP($C10,'Zwischenrunde 16'!$B:$J,6,0)</f>
        <v>211</v>
      </c>
      <c r="P10" s="136">
        <f>VLOOKUP($C10,'Zwischenrunde 16'!$B:$J,7,0)</f>
        <v>233</v>
      </c>
      <c r="Q10" s="136">
        <f>VLOOKUP($C10,'Zwischenrunde 16'!$B:$J,8,0)</f>
        <v>268</v>
      </c>
      <c r="R10" s="142">
        <f>VLOOKUP($C10,'Zwischenrunde 16'!$B:$J,9,0)</f>
        <v>230</v>
      </c>
      <c r="S10" s="140">
        <f>VLOOKUP($C10,'Petersen-Rangliste'!$B$23:$M$38,6,0)</f>
        <v>162</v>
      </c>
      <c r="T10" s="136">
        <f>VLOOKUP($C10,'Petersen-Rangliste'!$B$23:$M$38,7,0)</f>
        <v>237</v>
      </c>
      <c r="U10" s="136">
        <f>VLOOKUP($C10,'Petersen-Rangliste'!$B$23:$M$38,8,0)</f>
        <v>268</v>
      </c>
      <c r="V10" s="136">
        <f>VLOOKUP($C10,'Petersen-Rangliste'!$B$23:$M$38,9,0)</f>
        <v>201</v>
      </c>
      <c r="W10" s="136">
        <f>VLOOKUP($C10,'Petersen-Rangliste'!$B$23:$M$38,10,0)</f>
        <v>224</v>
      </c>
      <c r="X10" s="136">
        <f>VLOOKUP($C10,'Petersen-Rangliste'!$B$23:$M$38,11,0)</f>
        <v>192</v>
      </c>
      <c r="Y10" s="142">
        <f>VLOOKUP($C10,'Petersen-Rangliste'!$B$23:$M$38,12,0)</f>
        <v>187</v>
      </c>
      <c r="Z10" s="140">
        <f t="shared" si="1"/>
        <v>4241</v>
      </c>
      <c r="AA10" s="136">
        <f t="shared" si="2"/>
        <v>19</v>
      </c>
      <c r="AB10" s="137">
        <f t="shared" si="3"/>
        <v>223.21052631578948</v>
      </c>
      <c r="AC10" s="135">
        <f t="shared" si="4"/>
        <v>38</v>
      </c>
      <c r="AD10" s="135">
        <f t="shared" si="0"/>
        <v>4279</v>
      </c>
      <c r="AE10" s="145">
        <f>AE11</f>
        <v>8254</v>
      </c>
      <c r="AG10" s="321"/>
      <c r="AJ10" s="19"/>
    </row>
    <row r="11" spans="1:36" s="12" customFormat="1" ht="18" customHeight="1">
      <c r="A11" s="144"/>
      <c r="B11" s="133">
        <v>2</v>
      </c>
      <c r="C11" s="134" t="s">
        <v>151</v>
      </c>
      <c r="D11" s="135" t="s">
        <v>133</v>
      </c>
      <c r="E11" s="135">
        <v>1</v>
      </c>
      <c r="F11" s="135"/>
      <c r="G11" s="136">
        <f>VLOOKUP($C11,Quali!$B:$N,6,0)</f>
        <v>192</v>
      </c>
      <c r="H11" s="136">
        <f>VLOOKUP($C11,Quali!$B:$N,7,0)</f>
        <v>192</v>
      </c>
      <c r="I11" s="136">
        <f>VLOOKUP($C11,Quali!$B:$N,8,0)</f>
        <v>170</v>
      </c>
      <c r="J11" s="136">
        <f>VLOOKUP($C11,Quali!$B:$N,9,0)</f>
        <v>208</v>
      </c>
      <c r="K11" s="136">
        <f>VLOOKUP($C11,Quali!$B:$N,10,0)</f>
        <v>225</v>
      </c>
      <c r="L11" s="136">
        <f>VLOOKUP($C11,Quali!$B:$N,11,0)</f>
        <v>181</v>
      </c>
      <c r="M11" s="136">
        <f>VLOOKUP($C11,Quali!$B:$N,12,0)</f>
        <v>253</v>
      </c>
      <c r="N11" s="142">
        <f>VLOOKUP($C11,Quali!$B:$N,13,0)</f>
        <v>245</v>
      </c>
      <c r="O11" s="141">
        <f>VLOOKUP($C11,'Zwischenrunde 16'!$B:$J,6,0)</f>
        <v>201</v>
      </c>
      <c r="P11" s="135">
        <f>VLOOKUP($C11,'Zwischenrunde 16'!$B:$J,7,0)</f>
        <v>193</v>
      </c>
      <c r="Q11" s="135">
        <f>VLOOKUP($C11,'Zwischenrunde 16'!$B:$J,8,0)</f>
        <v>194</v>
      </c>
      <c r="R11" s="143">
        <f>VLOOKUP($C11,'Zwischenrunde 16'!$B:$J,9,0)</f>
        <v>216</v>
      </c>
      <c r="S11" s="141">
        <f>VLOOKUP($C11,'Petersen-Rangliste'!$B$23:$M$38,6,0)</f>
        <v>177</v>
      </c>
      <c r="T11" s="135">
        <f>VLOOKUP($C11,'Petersen-Rangliste'!$B$23:$M$38,7,0)</f>
        <v>205</v>
      </c>
      <c r="U11" s="135">
        <f>VLOOKUP($C11,'Petersen-Rangliste'!$B$23:$M$38,8,0)</f>
        <v>259</v>
      </c>
      <c r="V11" s="135">
        <f>VLOOKUP($C11,'Petersen-Rangliste'!$B$23:$M$38,9,0)</f>
        <v>169</v>
      </c>
      <c r="W11" s="135">
        <f>VLOOKUP($C11,'Petersen-Rangliste'!$B$23:$M$38,10,0)</f>
        <v>215</v>
      </c>
      <c r="X11" s="135">
        <f>VLOOKUP($C11,'Petersen-Rangliste'!$B$23:$M$38,11,0)</f>
        <v>258</v>
      </c>
      <c r="Y11" s="143">
        <f>VLOOKUP($C11,'Petersen-Rangliste'!$B$23:$M$38,12,0)</f>
        <v>203</v>
      </c>
      <c r="Z11" s="141">
        <f t="shared" si="1"/>
        <v>3956</v>
      </c>
      <c r="AA11" s="135">
        <f t="shared" si="2"/>
        <v>19</v>
      </c>
      <c r="AB11" s="137">
        <f t="shared" si="3"/>
        <v>208.21052631578948</v>
      </c>
      <c r="AC11" s="135">
        <f t="shared" si="4"/>
        <v>19</v>
      </c>
      <c r="AD11" s="135">
        <f t="shared" si="0"/>
        <v>3975</v>
      </c>
      <c r="AE11" s="146">
        <f>SUM(AD10:AD11)</f>
        <v>8254</v>
      </c>
      <c r="AF11" s="16">
        <f>AE11/2</f>
        <v>4127</v>
      </c>
      <c r="AG11" s="321">
        <f>(Z10+Z11)/38</f>
        <v>215.71052631578948</v>
      </c>
      <c r="AJ11" s="19"/>
    </row>
    <row r="12" spans="1:36" s="12" customFormat="1" ht="18" customHeight="1">
      <c r="A12" s="144">
        <v>5</v>
      </c>
      <c r="B12" s="133">
        <v>5</v>
      </c>
      <c r="C12" s="134" t="s">
        <v>123</v>
      </c>
      <c r="D12" s="135" t="s">
        <v>99</v>
      </c>
      <c r="E12" s="135">
        <v>0</v>
      </c>
      <c r="F12" s="135"/>
      <c r="G12" s="136">
        <f>VLOOKUP($C12,Quali!$B:$N,6,0)</f>
        <v>219</v>
      </c>
      <c r="H12" s="136">
        <f>VLOOKUP($C12,Quali!$B:$N,7,0)</f>
        <v>255</v>
      </c>
      <c r="I12" s="136">
        <f>VLOOKUP($C12,Quali!$B:$N,8,0)</f>
        <v>248</v>
      </c>
      <c r="J12" s="136">
        <f>VLOOKUP($C12,Quali!$B:$N,9,0)</f>
        <v>205</v>
      </c>
      <c r="K12" s="136">
        <f>VLOOKUP($C12,Quali!$B:$N,10,0)</f>
        <v>181</v>
      </c>
      <c r="L12" s="136">
        <f>VLOOKUP($C12,Quali!$B:$N,11,0)</f>
        <v>249</v>
      </c>
      <c r="M12" s="136">
        <f>VLOOKUP($C12,Quali!$B:$N,12,0)</f>
        <v>203</v>
      </c>
      <c r="N12" s="142">
        <f>VLOOKUP($C12,Quali!$B:$N,13,0)</f>
        <v>249</v>
      </c>
      <c r="O12" s="140">
        <f>VLOOKUP($C12,'Zwischenrunde 16'!$B:$J,6,0)</f>
        <v>158</v>
      </c>
      <c r="P12" s="136">
        <f>VLOOKUP($C12,'Zwischenrunde 16'!$B:$J,7,0)</f>
        <v>251</v>
      </c>
      <c r="Q12" s="136">
        <f>VLOOKUP($C12,'Zwischenrunde 16'!$B:$J,8,0)</f>
        <v>257</v>
      </c>
      <c r="R12" s="142">
        <f>VLOOKUP($C12,'Zwischenrunde 16'!$B:$J,9,0)</f>
        <v>267</v>
      </c>
      <c r="S12" s="140">
        <f>VLOOKUP($C12,'Petersen-Rangliste'!$B$23:$M$38,6,0)</f>
        <v>183</v>
      </c>
      <c r="T12" s="136">
        <f>VLOOKUP($C12,'Petersen-Rangliste'!$B$23:$M$38,7,0)</f>
        <v>222</v>
      </c>
      <c r="U12" s="136">
        <f>VLOOKUP($C12,'Petersen-Rangliste'!$B$23:$M$38,8,0)</f>
        <v>213</v>
      </c>
      <c r="V12" s="136">
        <f>VLOOKUP($C12,'Petersen-Rangliste'!$B$23:$M$38,9,0)</f>
        <v>193</v>
      </c>
      <c r="W12" s="136">
        <f>VLOOKUP($C12,'Petersen-Rangliste'!$B$23:$M$38,10,0)</f>
        <v>225</v>
      </c>
      <c r="X12" s="136">
        <f>VLOOKUP($C12,'Petersen-Rangliste'!$B$23:$M$38,11,0)</f>
        <v>214</v>
      </c>
      <c r="Y12" s="142">
        <f>VLOOKUP($C12,'Petersen-Rangliste'!$B$23:$M$38,12,0)</f>
        <v>207</v>
      </c>
      <c r="Z12" s="140">
        <f t="shared" si="1"/>
        <v>4199</v>
      </c>
      <c r="AA12" s="136">
        <f t="shared" si="2"/>
        <v>19</v>
      </c>
      <c r="AB12" s="137">
        <f t="shared" si="3"/>
        <v>221</v>
      </c>
      <c r="AC12" s="135">
        <f t="shared" si="4"/>
        <v>0</v>
      </c>
      <c r="AD12" s="135">
        <f t="shared" si="0"/>
        <v>4199</v>
      </c>
      <c r="AE12" s="145">
        <f>AE13</f>
        <v>8179</v>
      </c>
      <c r="AG12" s="321"/>
      <c r="AJ12" s="19"/>
    </row>
    <row r="13" spans="1:36" s="12" customFormat="1" ht="18" customHeight="1">
      <c r="A13" s="144"/>
      <c r="B13" s="133">
        <v>6</v>
      </c>
      <c r="C13" s="134" t="s">
        <v>124</v>
      </c>
      <c r="D13" s="135" t="s">
        <v>99</v>
      </c>
      <c r="E13" s="135">
        <v>0</v>
      </c>
      <c r="F13" s="135"/>
      <c r="G13" s="136">
        <f>VLOOKUP($C13,Quali!$B:$N,6,0)</f>
        <v>191</v>
      </c>
      <c r="H13" s="136">
        <f>VLOOKUP($C13,Quali!$B:$N,7,0)</f>
        <v>210</v>
      </c>
      <c r="I13" s="136">
        <f>VLOOKUP($C13,Quali!$B:$N,8,0)</f>
        <v>213</v>
      </c>
      <c r="J13" s="136">
        <f>VLOOKUP($C13,Quali!$B:$N,9,0)</f>
        <v>189</v>
      </c>
      <c r="K13" s="136">
        <f>VLOOKUP($C13,Quali!$B:$N,10,0)</f>
        <v>227</v>
      </c>
      <c r="L13" s="136">
        <f>VLOOKUP($C13,Quali!$B:$N,11,0)</f>
        <v>232</v>
      </c>
      <c r="M13" s="136">
        <f>VLOOKUP($C13,Quali!$B:$N,12,0)</f>
        <v>238</v>
      </c>
      <c r="N13" s="142">
        <f>VLOOKUP($C13,Quali!$B:$N,13,0)</f>
        <v>258</v>
      </c>
      <c r="O13" s="141">
        <f>VLOOKUP($C13,'Zwischenrunde 16'!$B:$J,6,0)</f>
        <v>202</v>
      </c>
      <c r="P13" s="135">
        <f>VLOOKUP($C13,'Zwischenrunde 16'!$B:$J,7,0)</f>
        <v>178</v>
      </c>
      <c r="Q13" s="135">
        <f>VLOOKUP($C13,'Zwischenrunde 16'!$B:$J,8,0)</f>
        <v>213</v>
      </c>
      <c r="R13" s="143">
        <f>VLOOKUP($C13,'Zwischenrunde 16'!$B:$J,9,0)</f>
        <v>193</v>
      </c>
      <c r="S13" s="141">
        <f>VLOOKUP($C13,'Petersen-Rangliste'!$B$23:$M$38,6,0)</f>
        <v>236</v>
      </c>
      <c r="T13" s="135">
        <f>VLOOKUP($C13,'Petersen-Rangliste'!$B$23:$M$38,7,0)</f>
        <v>211</v>
      </c>
      <c r="U13" s="135">
        <f>VLOOKUP($C13,'Petersen-Rangliste'!$B$23:$M$38,8,0)</f>
        <v>192</v>
      </c>
      <c r="V13" s="135">
        <f>VLOOKUP($C13,'Petersen-Rangliste'!$B$23:$M$38,9,0)</f>
        <v>191</v>
      </c>
      <c r="W13" s="135">
        <f>VLOOKUP($C13,'Petersen-Rangliste'!$B$23:$M$38,10,0)</f>
        <v>178</v>
      </c>
      <c r="X13" s="135">
        <f>VLOOKUP($C13,'Petersen-Rangliste'!$B$23:$M$38,11,0)</f>
        <v>193</v>
      </c>
      <c r="Y13" s="143">
        <f>VLOOKUP($C13,'Petersen-Rangliste'!$B$23:$M$38,12,0)</f>
        <v>235</v>
      </c>
      <c r="Z13" s="141">
        <f t="shared" si="1"/>
        <v>3980</v>
      </c>
      <c r="AA13" s="135">
        <f t="shared" si="2"/>
        <v>19</v>
      </c>
      <c r="AB13" s="137">
        <f t="shared" si="3"/>
        <v>209.47368421052633</v>
      </c>
      <c r="AC13" s="135">
        <f t="shared" si="4"/>
        <v>0</v>
      </c>
      <c r="AD13" s="135">
        <f t="shared" si="0"/>
        <v>3980</v>
      </c>
      <c r="AE13" s="146">
        <f>SUM(AD12:AD13)</f>
        <v>8179</v>
      </c>
      <c r="AF13" s="16">
        <f>AE13/2</f>
        <v>4089.5</v>
      </c>
      <c r="AG13" s="321">
        <f>(Z12+Z13)/38</f>
        <v>215.23684210526315</v>
      </c>
      <c r="AJ13" s="19"/>
    </row>
    <row r="14" spans="1:36" s="12" customFormat="1" ht="18" customHeight="1">
      <c r="A14" s="144">
        <v>6</v>
      </c>
      <c r="B14" s="133">
        <v>17</v>
      </c>
      <c r="C14" s="138" t="s">
        <v>136</v>
      </c>
      <c r="D14" s="135" t="s">
        <v>125</v>
      </c>
      <c r="E14" s="135">
        <v>0</v>
      </c>
      <c r="F14" s="135"/>
      <c r="G14" s="136">
        <f>VLOOKUP($C14,Quali!$B:$N,6,0)</f>
        <v>233</v>
      </c>
      <c r="H14" s="136">
        <f>VLOOKUP($C14,Quali!$B:$N,7,0)</f>
        <v>146</v>
      </c>
      <c r="I14" s="136">
        <f>VLOOKUP($C14,Quali!$B:$N,8,0)</f>
        <v>187</v>
      </c>
      <c r="J14" s="136">
        <f>VLOOKUP($C14,Quali!$B:$N,9,0)</f>
        <v>246</v>
      </c>
      <c r="K14" s="136">
        <f>VLOOKUP($C14,Quali!$B:$N,10,0)</f>
        <v>247</v>
      </c>
      <c r="L14" s="136">
        <f>VLOOKUP($C14,Quali!$B:$N,11,0)</f>
        <v>213</v>
      </c>
      <c r="M14" s="136">
        <f>VLOOKUP($C14,Quali!$B:$N,12,0)</f>
        <v>213</v>
      </c>
      <c r="N14" s="142">
        <f>VLOOKUP($C14,Quali!$B:$N,13,0)</f>
        <v>172</v>
      </c>
      <c r="O14" s="140">
        <f>VLOOKUP($C14,'Zwischenrunde 16'!$B:$J,6,0)</f>
        <v>239</v>
      </c>
      <c r="P14" s="136">
        <f>VLOOKUP($C14,'Zwischenrunde 16'!$B:$J,7,0)</f>
        <v>204</v>
      </c>
      <c r="Q14" s="136">
        <f>VLOOKUP($C14,'Zwischenrunde 16'!$B:$J,8,0)</f>
        <v>213</v>
      </c>
      <c r="R14" s="142">
        <f>VLOOKUP($C14,'Zwischenrunde 16'!$B:$J,9,0)</f>
        <v>215</v>
      </c>
      <c r="S14" s="140">
        <f>VLOOKUP($C14,'Petersen-Rangliste'!$B$23:$M$38,6,0)</f>
        <v>201</v>
      </c>
      <c r="T14" s="136">
        <f>VLOOKUP($C14,'Petersen-Rangliste'!$B$23:$M$38,7,0)</f>
        <v>235</v>
      </c>
      <c r="U14" s="136">
        <f>VLOOKUP($C14,'Petersen-Rangliste'!$B$23:$M$38,8,0)</f>
        <v>237</v>
      </c>
      <c r="V14" s="136">
        <f>VLOOKUP($C14,'Petersen-Rangliste'!$B$23:$M$38,9,0)</f>
        <v>190</v>
      </c>
      <c r="W14" s="136">
        <f>VLOOKUP($C14,'Petersen-Rangliste'!$B$23:$M$38,10,0)</f>
        <v>166</v>
      </c>
      <c r="X14" s="136">
        <f>VLOOKUP($C14,'Petersen-Rangliste'!$B$23:$M$38,11,0)</f>
        <v>201</v>
      </c>
      <c r="Y14" s="142">
        <f>VLOOKUP($C14,'Petersen-Rangliste'!$B$23:$M$38,12,0)</f>
        <v>190</v>
      </c>
      <c r="Z14" s="140">
        <f t="shared" si="1"/>
        <v>3948</v>
      </c>
      <c r="AA14" s="136">
        <f t="shared" si="2"/>
        <v>19</v>
      </c>
      <c r="AB14" s="137">
        <f t="shared" si="3"/>
        <v>207.78947368421052</v>
      </c>
      <c r="AC14" s="135">
        <f t="shared" si="4"/>
        <v>0</v>
      </c>
      <c r="AD14" s="135">
        <f t="shared" si="0"/>
        <v>3948</v>
      </c>
      <c r="AE14" s="145">
        <f>AE15</f>
        <v>7899</v>
      </c>
      <c r="AG14" s="321"/>
      <c r="AJ14" s="19"/>
    </row>
    <row r="15" spans="1:36" s="12" customFormat="1" ht="18" customHeight="1">
      <c r="A15" s="144"/>
      <c r="B15" s="133">
        <v>18</v>
      </c>
      <c r="C15" s="138" t="s">
        <v>137</v>
      </c>
      <c r="D15" s="135" t="s">
        <v>133</v>
      </c>
      <c r="E15" s="135">
        <v>1</v>
      </c>
      <c r="F15" s="135"/>
      <c r="G15" s="136">
        <f>VLOOKUP($C15,Quali!$B:$N,6,0)</f>
        <v>153</v>
      </c>
      <c r="H15" s="136">
        <f>VLOOKUP($C15,Quali!$B:$N,7,0)</f>
        <v>233</v>
      </c>
      <c r="I15" s="136">
        <f>VLOOKUP($C15,Quali!$B:$N,8,0)</f>
        <v>147</v>
      </c>
      <c r="J15" s="136">
        <f>VLOOKUP($C15,Quali!$B:$N,9,0)</f>
        <v>244</v>
      </c>
      <c r="K15" s="136">
        <f>VLOOKUP($C15,Quali!$B:$N,10,0)</f>
        <v>209</v>
      </c>
      <c r="L15" s="136">
        <f>VLOOKUP($C15,Quali!$B:$N,11,0)</f>
        <v>227</v>
      </c>
      <c r="M15" s="136">
        <f>VLOOKUP($C15,Quali!$B:$N,12,0)</f>
        <v>243</v>
      </c>
      <c r="N15" s="142">
        <f>VLOOKUP($C15,Quali!$B:$N,13,0)</f>
        <v>211</v>
      </c>
      <c r="O15" s="141">
        <f>VLOOKUP($C15,'Zwischenrunde 16'!$B:$J,6,0)</f>
        <v>158</v>
      </c>
      <c r="P15" s="135">
        <f>VLOOKUP($C15,'Zwischenrunde 16'!$B:$J,7,0)</f>
        <v>280</v>
      </c>
      <c r="Q15" s="135">
        <f>VLOOKUP($C15,'Zwischenrunde 16'!$B:$J,8,0)</f>
        <v>215</v>
      </c>
      <c r="R15" s="143">
        <f>VLOOKUP($C15,'Zwischenrunde 16'!$B:$J,9,0)</f>
        <v>211</v>
      </c>
      <c r="S15" s="141">
        <f>VLOOKUP($C15,'Petersen-Rangliste'!$B$23:$M$38,6,0)</f>
        <v>230</v>
      </c>
      <c r="T15" s="135">
        <f>VLOOKUP($C15,'Petersen-Rangliste'!$B$23:$M$38,7,0)</f>
        <v>182</v>
      </c>
      <c r="U15" s="135">
        <f>VLOOKUP($C15,'Petersen-Rangliste'!$B$23:$M$38,8,0)</f>
        <v>202</v>
      </c>
      <c r="V15" s="135">
        <f>VLOOKUP($C15,'Petersen-Rangliste'!$B$23:$M$38,9,0)</f>
        <v>212</v>
      </c>
      <c r="W15" s="135">
        <f>VLOOKUP($C15,'Petersen-Rangliste'!$B$23:$M$38,10,0)</f>
        <v>216</v>
      </c>
      <c r="X15" s="135">
        <f>VLOOKUP($C15,'Petersen-Rangliste'!$B$23:$M$38,11,0)</f>
        <v>148</v>
      </c>
      <c r="Y15" s="143">
        <f>VLOOKUP($C15,'Petersen-Rangliste'!$B$23:$M$38,12,0)</f>
        <v>211</v>
      </c>
      <c r="Z15" s="141">
        <f t="shared" si="1"/>
        <v>3932</v>
      </c>
      <c r="AA15" s="135">
        <f t="shared" si="2"/>
        <v>19</v>
      </c>
      <c r="AB15" s="137">
        <f t="shared" si="3"/>
        <v>206.94736842105263</v>
      </c>
      <c r="AC15" s="135">
        <f t="shared" si="4"/>
        <v>19</v>
      </c>
      <c r="AD15" s="135">
        <f t="shared" si="0"/>
        <v>3951</v>
      </c>
      <c r="AE15" s="146">
        <f>SUM(AD14:AD15)</f>
        <v>7899</v>
      </c>
      <c r="AF15" s="16">
        <f>AE15/2</f>
        <v>3949.5</v>
      </c>
      <c r="AG15" s="321">
        <f>(Z14+Z15)/38</f>
        <v>207.3684210526316</v>
      </c>
      <c r="AJ15" s="19"/>
    </row>
    <row r="16" spans="1:36" s="12" customFormat="1" ht="18" customHeight="1">
      <c r="A16" s="144">
        <v>7</v>
      </c>
      <c r="B16" s="133">
        <v>11</v>
      </c>
      <c r="C16" s="134" t="s">
        <v>140</v>
      </c>
      <c r="D16" s="135" t="s">
        <v>125</v>
      </c>
      <c r="E16" s="135">
        <v>16</v>
      </c>
      <c r="F16" s="135"/>
      <c r="G16" s="136">
        <f>VLOOKUP($C16,Quali!$B:$N,6,0)</f>
        <v>181</v>
      </c>
      <c r="H16" s="136">
        <f>VLOOKUP($C16,Quali!$B:$N,7,0)</f>
        <v>199</v>
      </c>
      <c r="I16" s="136">
        <f>VLOOKUP($C16,Quali!$B:$N,8,0)</f>
        <v>209</v>
      </c>
      <c r="J16" s="136">
        <f>VLOOKUP($C16,Quali!$B:$N,9,0)</f>
        <v>191</v>
      </c>
      <c r="K16" s="136">
        <f>VLOOKUP($C16,Quali!$B:$N,10,0)</f>
        <v>192</v>
      </c>
      <c r="L16" s="136">
        <f>VLOOKUP($C16,Quali!$B:$N,11,0)</f>
        <v>195</v>
      </c>
      <c r="M16" s="136">
        <f>VLOOKUP($C16,Quali!$B:$N,12,0)</f>
        <v>201</v>
      </c>
      <c r="N16" s="142">
        <f>VLOOKUP($C16,Quali!$B:$N,13,0)</f>
        <v>182</v>
      </c>
      <c r="O16" s="140">
        <f>VLOOKUP($C16,'Zwischenrunde 16'!$B:$J,6,0)</f>
        <v>163</v>
      </c>
      <c r="P16" s="136">
        <f>VLOOKUP($C16,'Zwischenrunde 16'!$B:$J,7,0)</f>
        <v>181</v>
      </c>
      <c r="Q16" s="136">
        <f>VLOOKUP($C16,'Zwischenrunde 16'!$B:$J,8,0)</f>
        <v>190</v>
      </c>
      <c r="R16" s="142">
        <f>VLOOKUP($C16,'Zwischenrunde 16'!$B:$J,9,0)</f>
        <v>190</v>
      </c>
      <c r="S16" s="140">
        <f>VLOOKUP($C16,'Petersen-Rangliste'!$B$23:$M$38,6,0)</f>
        <v>220</v>
      </c>
      <c r="T16" s="136">
        <f>VLOOKUP($C16,'Petersen-Rangliste'!$B$23:$M$38,7,0)</f>
        <v>144</v>
      </c>
      <c r="U16" s="136">
        <f>VLOOKUP($C16,'Petersen-Rangliste'!$B$23:$M$38,8,0)</f>
        <v>181</v>
      </c>
      <c r="V16" s="136">
        <f>VLOOKUP($C16,'Petersen-Rangliste'!$B$23:$M$38,9,0)</f>
        <v>229</v>
      </c>
      <c r="W16" s="136">
        <f>VLOOKUP($C16,'Petersen-Rangliste'!$B$23:$M$38,10,0)</f>
        <v>132</v>
      </c>
      <c r="X16" s="136">
        <f>VLOOKUP($C16,'Petersen-Rangliste'!$B$23:$M$38,11,0)</f>
        <v>204</v>
      </c>
      <c r="Y16" s="142">
        <f>VLOOKUP($C16,'Petersen-Rangliste'!$B$23:$M$38,12,0)</f>
        <v>190</v>
      </c>
      <c r="Z16" s="140">
        <f t="shared" si="1"/>
        <v>3574</v>
      </c>
      <c r="AA16" s="136">
        <f t="shared" si="2"/>
        <v>19</v>
      </c>
      <c r="AB16" s="137">
        <f t="shared" si="3"/>
        <v>188.10526315789474</v>
      </c>
      <c r="AC16" s="135">
        <f t="shared" si="4"/>
        <v>304</v>
      </c>
      <c r="AD16" s="135">
        <f t="shared" si="0"/>
        <v>3878</v>
      </c>
      <c r="AE16" s="145">
        <f>AE17</f>
        <v>7750</v>
      </c>
      <c r="AG16" s="321"/>
      <c r="AJ16" s="19"/>
    </row>
    <row r="17" spans="1:36" s="12" customFormat="1" ht="18" customHeight="1">
      <c r="A17" s="144"/>
      <c r="B17" s="133">
        <v>12</v>
      </c>
      <c r="C17" s="134" t="s">
        <v>141</v>
      </c>
      <c r="D17" s="135" t="s">
        <v>125</v>
      </c>
      <c r="E17" s="135">
        <v>12</v>
      </c>
      <c r="F17" s="135"/>
      <c r="G17" s="136">
        <f>VLOOKUP($C17,Quali!$B:$N,6,0)</f>
        <v>166</v>
      </c>
      <c r="H17" s="136">
        <f>VLOOKUP($C17,Quali!$B:$N,7,0)</f>
        <v>168</v>
      </c>
      <c r="I17" s="136">
        <f>VLOOKUP($C17,Quali!$B:$N,8,0)</f>
        <v>222</v>
      </c>
      <c r="J17" s="136">
        <f>VLOOKUP($C17,Quali!$B:$N,9,0)</f>
        <v>192</v>
      </c>
      <c r="K17" s="136">
        <f>VLOOKUP($C17,Quali!$B:$N,10,0)</f>
        <v>205</v>
      </c>
      <c r="L17" s="136">
        <f>VLOOKUP($C17,Quali!$B:$N,11,0)</f>
        <v>170</v>
      </c>
      <c r="M17" s="136">
        <f>VLOOKUP($C17,Quali!$B:$N,12,0)</f>
        <v>213</v>
      </c>
      <c r="N17" s="142">
        <f>VLOOKUP($C17,Quali!$B:$N,13,0)</f>
        <v>161</v>
      </c>
      <c r="O17" s="141">
        <f>VLOOKUP($C17,'Zwischenrunde 16'!$B:$J,6,0)</f>
        <v>200</v>
      </c>
      <c r="P17" s="135">
        <f>VLOOKUP($C17,'Zwischenrunde 16'!$B:$J,7,0)</f>
        <v>181</v>
      </c>
      <c r="Q17" s="135">
        <f>VLOOKUP($C17,'Zwischenrunde 16'!$B:$J,8,0)</f>
        <v>250</v>
      </c>
      <c r="R17" s="143">
        <f>VLOOKUP($C17,'Zwischenrunde 16'!$B:$J,9,0)</f>
        <v>237</v>
      </c>
      <c r="S17" s="141">
        <f>VLOOKUP($C17,'Petersen-Rangliste'!$B$23:$M$38,6,0)</f>
        <v>176</v>
      </c>
      <c r="T17" s="135">
        <f>VLOOKUP($C17,'Petersen-Rangliste'!$B$23:$M$38,7,0)</f>
        <v>189</v>
      </c>
      <c r="U17" s="135">
        <f>VLOOKUP($C17,'Petersen-Rangliste'!$B$23:$M$38,8,0)</f>
        <v>170</v>
      </c>
      <c r="V17" s="135">
        <f>VLOOKUP($C17,'Petersen-Rangliste'!$B$23:$M$38,9,0)</f>
        <v>207</v>
      </c>
      <c r="W17" s="135">
        <f>VLOOKUP($C17,'Petersen-Rangliste'!$B$23:$M$38,10,0)</f>
        <v>160</v>
      </c>
      <c r="X17" s="135">
        <f>VLOOKUP($C17,'Petersen-Rangliste'!$B$23:$M$38,11,0)</f>
        <v>196</v>
      </c>
      <c r="Y17" s="143">
        <f>VLOOKUP($C17,'Petersen-Rangliste'!$B$23:$M$38,12,0)</f>
        <v>181</v>
      </c>
      <c r="Z17" s="141">
        <f t="shared" si="1"/>
        <v>3644</v>
      </c>
      <c r="AA17" s="135">
        <f t="shared" si="2"/>
        <v>19</v>
      </c>
      <c r="AB17" s="137">
        <f t="shared" si="3"/>
        <v>191.78947368421052</v>
      </c>
      <c r="AC17" s="135">
        <f t="shared" si="4"/>
        <v>228</v>
      </c>
      <c r="AD17" s="135">
        <f t="shared" si="0"/>
        <v>3872</v>
      </c>
      <c r="AE17" s="146">
        <f>SUM(AD16:AD17)</f>
        <v>7750</v>
      </c>
      <c r="AF17" s="16">
        <f>AE17/2</f>
        <v>3875</v>
      </c>
      <c r="AG17" s="321">
        <f>(Z16+Z17)/38</f>
        <v>189.94736842105263</v>
      </c>
      <c r="AJ17" s="19"/>
    </row>
    <row r="18" spans="1:36" s="12" customFormat="1" ht="18" customHeight="1">
      <c r="A18" s="144">
        <v>8</v>
      </c>
      <c r="B18" s="133">
        <v>13</v>
      </c>
      <c r="C18" s="134" t="s">
        <v>154</v>
      </c>
      <c r="D18" s="135" t="s">
        <v>125</v>
      </c>
      <c r="E18" s="135">
        <v>4</v>
      </c>
      <c r="F18" s="135"/>
      <c r="G18" s="136">
        <f>VLOOKUP($C18,Quali!$B:$N,6,0)</f>
        <v>204</v>
      </c>
      <c r="H18" s="136">
        <f>VLOOKUP($C18,Quali!$B:$N,7,0)</f>
        <v>214</v>
      </c>
      <c r="I18" s="136">
        <f>VLOOKUP($C18,Quali!$B:$N,8,0)</f>
        <v>234</v>
      </c>
      <c r="J18" s="136">
        <f>VLOOKUP($C18,Quali!$B:$N,9,0)</f>
        <v>213</v>
      </c>
      <c r="K18" s="136">
        <f>VLOOKUP($C18,Quali!$B:$N,10,0)</f>
        <v>189</v>
      </c>
      <c r="L18" s="136">
        <f>VLOOKUP($C18,Quali!$B:$N,11,0)</f>
        <v>278</v>
      </c>
      <c r="M18" s="136">
        <f>VLOOKUP($C18,Quali!$B:$N,12,0)</f>
        <v>194</v>
      </c>
      <c r="N18" s="142">
        <f>VLOOKUP($C18,Quali!$B:$N,13,0)</f>
        <v>232</v>
      </c>
      <c r="O18" s="140">
        <f>VLOOKUP($C18,'Zwischenrunde 16'!$B:$J,6,0)</f>
        <v>212</v>
      </c>
      <c r="P18" s="136">
        <f>VLOOKUP($C18,'Zwischenrunde 16'!$B:$J,7,0)</f>
        <v>201</v>
      </c>
      <c r="Q18" s="136">
        <f>VLOOKUP($C18,'Zwischenrunde 16'!$B:$J,8,0)</f>
        <v>191</v>
      </c>
      <c r="R18" s="142">
        <f>VLOOKUP($C18,'Zwischenrunde 16'!$B:$J,9,0)</f>
        <v>201</v>
      </c>
      <c r="S18" s="140">
        <f>VLOOKUP($C18,'Petersen-Rangliste'!$B$23:$M$38,6,0)</f>
        <v>201</v>
      </c>
      <c r="T18" s="136">
        <f>VLOOKUP($C18,'Petersen-Rangliste'!$B$23:$M$38,7,0)</f>
        <v>223</v>
      </c>
      <c r="U18" s="136">
        <f>VLOOKUP($C18,'Petersen-Rangliste'!$B$23:$M$38,8,0)</f>
        <v>205</v>
      </c>
      <c r="V18" s="136">
        <f>VLOOKUP($C18,'Petersen-Rangliste'!$B$23:$M$38,9,0)</f>
        <v>169</v>
      </c>
      <c r="W18" s="136">
        <f>VLOOKUP($C18,'Petersen-Rangliste'!$B$23:$M$38,10,0)</f>
        <v>173</v>
      </c>
      <c r="X18" s="136">
        <f>VLOOKUP($C18,'Petersen-Rangliste'!$B$23:$M$38,11,0)</f>
        <v>203</v>
      </c>
      <c r="Y18" s="142">
        <f>VLOOKUP($C18,'Petersen-Rangliste'!$B$23:$M$38,12,0)</f>
        <v>170</v>
      </c>
      <c r="Z18" s="140">
        <f t="shared" si="1"/>
        <v>3907</v>
      </c>
      <c r="AA18" s="136">
        <f t="shared" si="2"/>
        <v>19</v>
      </c>
      <c r="AB18" s="137">
        <f t="shared" si="3"/>
        <v>205.6315789473684</v>
      </c>
      <c r="AC18" s="135">
        <f t="shared" si="4"/>
        <v>76</v>
      </c>
      <c r="AD18" s="135">
        <f t="shared" si="0"/>
        <v>3983</v>
      </c>
      <c r="AE18" s="145">
        <f>AE19</f>
        <v>7826</v>
      </c>
      <c r="AG18" s="321"/>
      <c r="AJ18" s="19"/>
    </row>
    <row r="19" spans="1:36" s="12" customFormat="1" ht="18" customHeight="1" thickBot="1">
      <c r="A19" s="148"/>
      <c r="B19" s="149">
        <v>14</v>
      </c>
      <c r="C19" s="150" t="s">
        <v>155</v>
      </c>
      <c r="D19" s="151" t="s">
        <v>125</v>
      </c>
      <c r="E19" s="151">
        <v>17</v>
      </c>
      <c r="F19" s="151"/>
      <c r="G19" s="152">
        <f>VLOOKUP($C19,Quali!$B:$N,6,0)</f>
        <v>169</v>
      </c>
      <c r="H19" s="152">
        <f>VLOOKUP($C19,Quali!$B:$N,7,0)</f>
        <v>166</v>
      </c>
      <c r="I19" s="152">
        <f>VLOOKUP($C19,Quali!$B:$N,8,0)</f>
        <v>172</v>
      </c>
      <c r="J19" s="152">
        <f>VLOOKUP($C19,Quali!$B:$N,9,0)</f>
        <v>178</v>
      </c>
      <c r="K19" s="152">
        <f>VLOOKUP($C19,Quali!$B:$N,10,0)</f>
        <v>177</v>
      </c>
      <c r="L19" s="152">
        <f>VLOOKUP($C19,Quali!$B:$N,11,0)</f>
        <v>172</v>
      </c>
      <c r="M19" s="152">
        <f>VLOOKUP($C19,Quali!$B:$N,12,0)</f>
        <v>205</v>
      </c>
      <c r="N19" s="153">
        <f>VLOOKUP($C19,Quali!$B:$N,13,0)</f>
        <v>210</v>
      </c>
      <c r="O19" s="165">
        <f>VLOOKUP($C19,'Zwischenrunde 16'!$B:$J,6,0)</f>
        <v>191</v>
      </c>
      <c r="P19" s="151">
        <f>VLOOKUP($C19,'Zwischenrunde 16'!$B:$J,7,0)</f>
        <v>224</v>
      </c>
      <c r="Q19" s="151">
        <f>VLOOKUP($C19,'Zwischenrunde 16'!$B:$J,8,0)</f>
        <v>195</v>
      </c>
      <c r="R19" s="164">
        <f>VLOOKUP($C19,'Zwischenrunde 16'!$B:$J,9,0)</f>
        <v>163</v>
      </c>
      <c r="S19" s="165">
        <f>VLOOKUP($C19,'Petersen-Rangliste'!$B$23:$M$38,6,0)</f>
        <v>174</v>
      </c>
      <c r="T19" s="151">
        <f>VLOOKUP($C19,'Petersen-Rangliste'!$B$23:$M$38,7,0)</f>
        <v>257</v>
      </c>
      <c r="U19" s="151">
        <f>VLOOKUP($C19,'Petersen-Rangliste'!$B$23:$M$38,8,0)</f>
        <v>164</v>
      </c>
      <c r="V19" s="151">
        <f>VLOOKUP($C19,'Petersen-Rangliste'!$B$23:$M$38,9,0)</f>
        <v>150</v>
      </c>
      <c r="W19" s="151">
        <f>VLOOKUP($C19,'Petersen-Rangliste'!$B$23:$M$38,10,0)</f>
        <v>176</v>
      </c>
      <c r="X19" s="151">
        <f>VLOOKUP($C19,'Petersen-Rangliste'!$B$23:$M$38,11,0)</f>
        <v>185</v>
      </c>
      <c r="Y19" s="164">
        <f>VLOOKUP($C19,'Petersen-Rangliste'!$B$23:$M$38,12,0)</f>
        <v>192</v>
      </c>
      <c r="Z19" s="168">
        <f t="shared" si="1"/>
        <v>3520</v>
      </c>
      <c r="AA19" s="151">
        <f t="shared" si="2"/>
        <v>19</v>
      </c>
      <c r="AB19" s="155">
        <f t="shared" si="3"/>
        <v>185.26315789473685</v>
      </c>
      <c r="AC19" s="151">
        <f t="shared" si="4"/>
        <v>323</v>
      </c>
      <c r="AD19" s="151">
        <f t="shared" si="0"/>
        <v>3843</v>
      </c>
      <c r="AE19" s="169">
        <f>SUM(AD18:AD19)</f>
        <v>7826</v>
      </c>
      <c r="AF19" s="16">
        <f>AE19/2</f>
        <v>3913</v>
      </c>
      <c r="AG19" s="321">
        <f>(Z18+Z19)/38</f>
        <v>195.44736842105263</v>
      </c>
      <c r="AJ19" s="19"/>
    </row>
    <row r="20" spans="1:36" s="12" customFormat="1" ht="18" customHeight="1">
      <c r="A20" s="157">
        <v>9</v>
      </c>
      <c r="B20" s="158">
        <v>9</v>
      </c>
      <c r="C20" s="159" t="s">
        <v>23</v>
      </c>
      <c r="D20" s="160" t="s">
        <v>94</v>
      </c>
      <c r="E20" s="160">
        <v>5</v>
      </c>
      <c r="F20" s="160"/>
      <c r="G20" s="161">
        <f>VLOOKUP($C20,Quali!$B:$N,6,0)</f>
        <v>195</v>
      </c>
      <c r="H20" s="161">
        <f>VLOOKUP($C20,Quali!$B:$N,7,0)</f>
        <v>210</v>
      </c>
      <c r="I20" s="161">
        <f>VLOOKUP($C20,Quali!$B:$N,8,0)</f>
        <v>199</v>
      </c>
      <c r="J20" s="161">
        <f>VLOOKUP($C20,Quali!$B:$N,9,0)</f>
        <v>192</v>
      </c>
      <c r="K20" s="161">
        <f>VLOOKUP($C20,Quali!$B:$N,10,0)</f>
        <v>212</v>
      </c>
      <c r="L20" s="161">
        <f>VLOOKUP($C20,Quali!$B:$N,11,0)</f>
        <v>215</v>
      </c>
      <c r="M20" s="161">
        <f>VLOOKUP($C20,Quali!$B:$N,12,0)</f>
        <v>203</v>
      </c>
      <c r="N20" s="162">
        <f>VLOOKUP($C20,Quali!$B:$N,13,0)</f>
        <v>182</v>
      </c>
      <c r="O20" s="163">
        <f>VLOOKUP($C20,'Zwischenrunde 16'!$B:$J,6,0)</f>
        <v>180</v>
      </c>
      <c r="P20" s="161">
        <f>VLOOKUP($C20,'Zwischenrunde 16'!$B:$J,7,0)</f>
        <v>171</v>
      </c>
      <c r="Q20" s="161">
        <f>VLOOKUP($C20,'Zwischenrunde 16'!$B:$J,8,0)</f>
        <v>179</v>
      </c>
      <c r="R20" s="162">
        <f>VLOOKUP($C20,'Zwischenrunde 16'!$B:$J,9,0)</f>
        <v>203</v>
      </c>
      <c r="S20" s="163"/>
      <c r="T20" s="161"/>
      <c r="U20" s="161"/>
      <c r="V20" s="161"/>
      <c r="W20" s="161"/>
      <c r="X20" s="161"/>
      <c r="Y20" s="161"/>
      <c r="Z20" s="161">
        <f t="shared" si="1"/>
        <v>2341</v>
      </c>
      <c r="AA20" s="161">
        <f t="shared" si="2"/>
        <v>12</v>
      </c>
      <c r="AB20" s="166">
        <f t="shared" si="3"/>
        <v>195.08333333333334</v>
      </c>
      <c r="AC20" s="160">
        <f t="shared" si="4"/>
        <v>60</v>
      </c>
      <c r="AD20" s="160">
        <f t="shared" si="0"/>
        <v>2401</v>
      </c>
      <c r="AE20" s="167">
        <f>AE21</f>
        <v>4978</v>
      </c>
      <c r="AJ20" s="19"/>
    </row>
    <row r="21" spans="1:36" s="12" customFormat="1" ht="18" customHeight="1">
      <c r="A21" s="144"/>
      <c r="B21" s="133">
        <v>10</v>
      </c>
      <c r="C21" s="134" t="s">
        <v>100</v>
      </c>
      <c r="D21" s="135" t="s">
        <v>94</v>
      </c>
      <c r="E21" s="135">
        <v>11</v>
      </c>
      <c r="F21" s="135"/>
      <c r="G21" s="136">
        <f>VLOOKUP($C21,Quali!$B:$N,6,0)</f>
        <v>217</v>
      </c>
      <c r="H21" s="136">
        <f>VLOOKUP($C21,Quali!$B:$N,7,0)</f>
        <v>214</v>
      </c>
      <c r="I21" s="136">
        <f>VLOOKUP($C21,Quali!$B:$N,8,0)</f>
        <v>175</v>
      </c>
      <c r="J21" s="136">
        <f>VLOOKUP($C21,Quali!$B:$N,9,0)</f>
        <v>200</v>
      </c>
      <c r="K21" s="136">
        <f>VLOOKUP($C21,Quali!$B:$N,10,0)</f>
        <v>235</v>
      </c>
      <c r="L21" s="136">
        <f>VLOOKUP($C21,Quali!$B:$N,11,0)</f>
        <v>208</v>
      </c>
      <c r="M21" s="136">
        <f>VLOOKUP($C21,Quali!$B:$N,12,0)</f>
        <v>193</v>
      </c>
      <c r="N21" s="142">
        <f>VLOOKUP($C21,Quali!$B:$N,13,0)</f>
        <v>192</v>
      </c>
      <c r="O21" s="141">
        <f>VLOOKUP($C21,'Zwischenrunde 16'!$B:$J,6,0)</f>
        <v>215</v>
      </c>
      <c r="P21" s="135">
        <f>VLOOKUP($C21,'Zwischenrunde 16'!$B:$J,7,0)</f>
        <v>205</v>
      </c>
      <c r="Q21" s="135">
        <f>VLOOKUP($C21,'Zwischenrunde 16'!$B:$J,8,0)</f>
        <v>169</v>
      </c>
      <c r="R21" s="143">
        <f>VLOOKUP($C21,'Zwischenrunde 16'!$B:$J,9,0)</f>
        <v>222</v>
      </c>
      <c r="S21" s="141"/>
      <c r="T21" s="135"/>
      <c r="U21" s="135"/>
      <c r="V21" s="135"/>
      <c r="W21" s="135"/>
      <c r="X21" s="135"/>
      <c r="Y21" s="135"/>
      <c r="Z21" s="135">
        <f t="shared" si="1"/>
        <v>2445</v>
      </c>
      <c r="AA21" s="135">
        <f t="shared" si="2"/>
        <v>12</v>
      </c>
      <c r="AB21" s="137">
        <f t="shared" si="3"/>
        <v>203.75</v>
      </c>
      <c r="AC21" s="135">
        <f t="shared" si="4"/>
        <v>132</v>
      </c>
      <c r="AD21" s="135">
        <f t="shared" si="0"/>
        <v>2577</v>
      </c>
      <c r="AE21" s="146">
        <f>SUM(AD20:AD21)</f>
        <v>4978</v>
      </c>
      <c r="AF21" s="16">
        <f>AE21/2</f>
        <v>2489</v>
      </c>
      <c r="AG21" s="321">
        <f>(Z20+Z21)/24</f>
        <v>199.41666666666666</v>
      </c>
      <c r="AJ21" s="19"/>
    </row>
    <row r="22" spans="1:36" s="12" customFormat="1" ht="18" customHeight="1">
      <c r="A22" s="144">
        <v>10</v>
      </c>
      <c r="B22" s="133">
        <v>7</v>
      </c>
      <c r="C22" s="134" t="s">
        <v>117</v>
      </c>
      <c r="D22" s="135" t="s">
        <v>94</v>
      </c>
      <c r="E22" s="135">
        <v>5</v>
      </c>
      <c r="F22" s="135"/>
      <c r="G22" s="136">
        <f>VLOOKUP($C22,Quali!$B:$N,6,0)</f>
        <v>228</v>
      </c>
      <c r="H22" s="136">
        <f>VLOOKUP($C22,Quali!$B:$N,7,0)</f>
        <v>203</v>
      </c>
      <c r="I22" s="136">
        <f>VLOOKUP($C22,Quali!$B:$N,8,0)</f>
        <v>189</v>
      </c>
      <c r="J22" s="136">
        <f>VLOOKUP($C22,Quali!$B:$N,9,0)</f>
        <v>202</v>
      </c>
      <c r="K22" s="136">
        <f>VLOOKUP($C22,Quali!$B:$N,10,0)</f>
        <v>215</v>
      </c>
      <c r="L22" s="136">
        <f>VLOOKUP($C22,Quali!$B:$N,11,0)</f>
        <v>268</v>
      </c>
      <c r="M22" s="136">
        <f>VLOOKUP($C22,Quali!$B:$N,12,0)</f>
        <v>181</v>
      </c>
      <c r="N22" s="142">
        <f>VLOOKUP($C22,Quali!$B:$N,13,0)</f>
        <v>192</v>
      </c>
      <c r="O22" s="140">
        <f>VLOOKUP($C22,'Zwischenrunde 16'!$B:$J,6,0)</f>
        <v>203</v>
      </c>
      <c r="P22" s="136">
        <f>VLOOKUP($C22,'Zwischenrunde 16'!$B:$J,7,0)</f>
        <v>224</v>
      </c>
      <c r="Q22" s="136">
        <f>VLOOKUP($C22,'Zwischenrunde 16'!$B:$J,8,0)</f>
        <v>213</v>
      </c>
      <c r="R22" s="142">
        <f>VLOOKUP($C22,'Zwischenrunde 16'!$B:$J,9,0)</f>
        <v>185</v>
      </c>
      <c r="S22" s="140"/>
      <c r="T22" s="136"/>
      <c r="U22" s="136"/>
      <c r="V22" s="136"/>
      <c r="W22" s="136"/>
      <c r="X22" s="136"/>
      <c r="Y22" s="136"/>
      <c r="Z22" s="136">
        <f t="shared" si="1"/>
        <v>2503</v>
      </c>
      <c r="AA22" s="136">
        <f t="shared" si="2"/>
        <v>12</v>
      </c>
      <c r="AB22" s="137">
        <f t="shared" si="3"/>
        <v>208.58333333333334</v>
      </c>
      <c r="AC22" s="135">
        <f t="shared" si="4"/>
        <v>60</v>
      </c>
      <c r="AD22" s="135">
        <f t="shared" si="0"/>
        <v>2563</v>
      </c>
      <c r="AE22" s="145">
        <f>AE23</f>
        <v>4927</v>
      </c>
      <c r="AJ22" s="19"/>
    </row>
    <row r="23" spans="1:36" s="12" customFormat="1" ht="18" customHeight="1">
      <c r="A23" s="144"/>
      <c r="B23" s="133">
        <v>8</v>
      </c>
      <c r="C23" s="134" t="s">
        <v>118</v>
      </c>
      <c r="D23" s="135" t="s">
        <v>94</v>
      </c>
      <c r="E23" s="135">
        <v>3</v>
      </c>
      <c r="F23" s="135"/>
      <c r="G23" s="136">
        <f>VLOOKUP($C23,Quali!$B:$N,6,0)</f>
        <v>160</v>
      </c>
      <c r="H23" s="136">
        <f>VLOOKUP($C23,Quali!$B:$N,7,0)</f>
        <v>191</v>
      </c>
      <c r="I23" s="136">
        <f>VLOOKUP($C23,Quali!$B:$N,8,0)</f>
        <v>189</v>
      </c>
      <c r="J23" s="136">
        <f>VLOOKUP($C23,Quali!$B:$N,9,0)</f>
        <v>199</v>
      </c>
      <c r="K23" s="136">
        <f>VLOOKUP($C23,Quali!$B:$N,10,0)</f>
        <v>213</v>
      </c>
      <c r="L23" s="136">
        <f>VLOOKUP($C23,Quali!$B:$N,11,0)</f>
        <v>217</v>
      </c>
      <c r="M23" s="136">
        <f>VLOOKUP($C23,Quali!$B:$N,12,0)</f>
        <v>192</v>
      </c>
      <c r="N23" s="142">
        <f>VLOOKUP($C23,Quali!$B:$N,13,0)</f>
        <v>176</v>
      </c>
      <c r="O23" s="141">
        <f>VLOOKUP($C23,'Zwischenrunde 16'!$B:$J,6,0)</f>
        <v>186</v>
      </c>
      <c r="P23" s="135">
        <f>VLOOKUP($C23,'Zwischenrunde 16'!$B:$J,7,0)</f>
        <v>184</v>
      </c>
      <c r="Q23" s="135">
        <f>VLOOKUP($C23,'Zwischenrunde 16'!$B:$J,8,0)</f>
        <v>165</v>
      </c>
      <c r="R23" s="143">
        <f>VLOOKUP($C23,'Zwischenrunde 16'!$B:$J,9,0)</f>
        <v>256</v>
      </c>
      <c r="S23" s="141"/>
      <c r="T23" s="135"/>
      <c r="U23" s="135"/>
      <c r="V23" s="135"/>
      <c r="W23" s="135"/>
      <c r="X23" s="135"/>
      <c r="Y23" s="135"/>
      <c r="Z23" s="135">
        <f t="shared" si="1"/>
        <v>2328</v>
      </c>
      <c r="AA23" s="135">
        <f t="shared" si="2"/>
        <v>12</v>
      </c>
      <c r="AB23" s="137">
        <f t="shared" si="3"/>
        <v>194</v>
      </c>
      <c r="AC23" s="135">
        <f t="shared" si="4"/>
        <v>36</v>
      </c>
      <c r="AD23" s="135">
        <f t="shared" si="0"/>
        <v>2364</v>
      </c>
      <c r="AE23" s="146">
        <f>SUM(AD22:AD23)</f>
        <v>4927</v>
      </c>
      <c r="AF23" s="16">
        <f>AE23/2</f>
        <v>2463.5</v>
      </c>
      <c r="AG23" s="321">
        <f>(Z22+Z23)/24</f>
        <v>201.29166666666666</v>
      </c>
      <c r="AJ23" s="19"/>
    </row>
    <row r="24" spans="1:36" s="12" customFormat="1" ht="18" customHeight="1">
      <c r="A24" s="144">
        <v>11</v>
      </c>
      <c r="B24" s="133">
        <v>15</v>
      </c>
      <c r="C24" s="134" t="s">
        <v>157</v>
      </c>
      <c r="D24" s="135" t="s">
        <v>158</v>
      </c>
      <c r="E24" s="135">
        <v>12</v>
      </c>
      <c r="F24" s="135"/>
      <c r="G24" s="136">
        <f>VLOOKUP($C24,Quali!$B:$N,6,0)</f>
        <v>206</v>
      </c>
      <c r="H24" s="136">
        <f>VLOOKUP($C24,Quali!$B:$N,7,0)</f>
        <v>219</v>
      </c>
      <c r="I24" s="136">
        <f>VLOOKUP($C24,Quali!$B:$N,8,0)</f>
        <v>216</v>
      </c>
      <c r="J24" s="136">
        <f>VLOOKUP($C24,Quali!$B:$N,9,0)</f>
        <v>223</v>
      </c>
      <c r="K24" s="136">
        <f>VLOOKUP($C24,Quali!$B:$N,10,0)</f>
        <v>225</v>
      </c>
      <c r="L24" s="136">
        <f>VLOOKUP($C24,Quali!$B:$N,11,0)</f>
        <v>234</v>
      </c>
      <c r="M24" s="136">
        <f>VLOOKUP($C24,Quali!$B:$N,12,0)</f>
        <v>203</v>
      </c>
      <c r="N24" s="142">
        <f>VLOOKUP($C24,Quali!$B:$N,13,0)</f>
        <v>165</v>
      </c>
      <c r="O24" s="140">
        <f>VLOOKUP($C24,'Zwischenrunde 16'!$B:$J,6,0)</f>
        <v>203</v>
      </c>
      <c r="P24" s="136">
        <f>VLOOKUP($C24,'Zwischenrunde 16'!$B:$J,7,0)</f>
        <v>201</v>
      </c>
      <c r="Q24" s="136">
        <f>VLOOKUP($C24,'Zwischenrunde 16'!$B:$J,8,0)</f>
        <v>158</v>
      </c>
      <c r="R24" s="142">
        <f>VLOOKUP($C24,'Zwischenrunde 16'!$B:$J,9,0)</f>
        <v>194</v>
      </c>
      <c r="S24" s="140"/>
      <c r="T24" s="136"/>
      <c r="U24" s="136"/>
      <c r="V24" s="136"/>
      <c r="W24" s="136"/>
      <c r="X24" s="136"/>
      <c r="Y24" s="136"/>
      <c r="Z24" s="136">
        <f t="shared" si="1"/>
        <v>2447</v>
      </c>
      <c r="AA24" s="136">
        <f t="shared" si="2"/>
        <v>12</v>
      </c>
      <c r="AB24" s="137">
        <f t="shared" si="3"/>
        <v>203.91666666666666</v>
      </c>
      <c r="AC24" s="135">
        <f t="shared" si="4"/>
        <v>144</v>
      </c>
      <c r="AD24" s="135">
        <f t="shared" si="0"/>
        <v>2591</v>
      </c>
      <c r="AE24" s="145">
        <f>AE25</f>
        <v>4966</v>
      </c>
      <c r="AJ24" s="19"/>
    </row>
    <row r="25" spans="1:36" s="12" customFormat="1" ht="18" customHeight="1">
      <c r="A25" s="144"/>
      <c r="B25" s="133">
        <v>16</v>
      </c>
      <c r="C25" s="134" t="s">
        <v>159</v>
      </c>
      <c r="D25" s="135" t="s">
        <v>125</v>
      </c>
      <c r="E25" s="135">
        <v>14</v>
      </c>
      <c r="F25" s="135"/>
      <c r="G25" s="136">
        <f>VLOOKUP($C25,Quali!$B:$N,6,0)</f>
        <v>146</v>
      </c>
      <c r="H25" s="136">
        <f>VLOOKUP($C25,Quali!$B:$N,7,0)</f>
        <v>190</v>
      </c>
      <c r="I25" s="136">
        <f>VLOOKUP($C25,Quali!$B:$N,8,0)</f>
        <v>195</v>
      </c>
      <c r="J25" s="136">
        <f>VLOOKUP($C25,Quali!$B:$N,9,0)</f>
        <v>167</v>
      </c>
      <c r="K25" s="136">
        <f>VLOOKUP($C25,Quali!$B:$N,10,0)</f>
        <v>139</v>
      </c>
      <c r="L25" s="136">
        <f>VLOOKUP($C25,Quali!$B:$N,11,0)</f>
        <v>255</v>
      </c>
      <c r="M25" s="136">
        <f>VLOOKUP($C25,Quali!$B:$N,12,0)</f>
        <v>212</v>
      </c>
      <c r="N25" s="142">
        <f>VLOOKUP($C25,Quali!$B:$N,13,0)</f>
        <v>168</v>
      </c>
      <c r="O25" s="141">
        <f>VLOOKUP($C25,'Zwischenrunde 16'!$B:$J,6,0)</f>
        <v>168</v>
      </c>
      <c r="P25" s="135">
        <f>VLOOKUP($C25,'Zwischenrunde 16'!$B:$J,7,0)</f>
        <v>178</v>
      </c>
      <c r="Q25" s="135">
        <f>VLOOKUP($C25,'Zwischenrunde 16'!$B:$J,8,0)</f>
        <v>201</v>
      </c>
      <c r="R25" s="143">
        <f>VLOOKUP($C25,'Zwischenrunde 16'!$B:$J,9,0)</f>
        <v>188</v>
      </c>
      <c r="S25" s="141"/>
      <c r="T25" s="135"/>
      <c r="U25" s="135"/>
      <c r="V25" s="135"/>
      <c r="W25" s="135"/>
      <c r="X25" s="135"/>
      <c r="Y25" s="135"/>
      <c r="Z25" s="135">
        <f t="shared" si="1"/>
        <v>2207</v>
      </c>
      <c r="AA25" s="135">
        <f t="shared" si="2"/>
        <v>12</v>
      </c>
      <c r="AB25" s="137">
        <f t="shared" si="3"/>
        <v>183.91666666666666</v>
      </c>
      <c r="AC25" s="135">
        <f t="shared" si="4"/>
        <v>168</v>
      </c>
      <c r="AD25" s="135">
        <f t="shared" si="0"/>
        <v>2375</v>
      </c>
      <c r="AE25" s="146">
        <f>SUM(AD24:AD25)</f>
        <v>4966</v>
      </c>
      <c r="AF25" s="16">
        <f>AE25/2</f>
        <v>2483</v>
      </c>
      <c r="AG25" s="321">
        <f>(Z24+Z25)/24</f>
        <v>193.91666666666666</v>
      </c>
      <c r="AJ25" s="19"/>
    </row>
    <row r="26" spans="1:36" s="12" customFormat="1" ht="18" customHeight="1">
      <c r="A26" s="144">
        <v>12</v>
      </c>
      <c r="B26" s="133">
        <v>27</v>
      </c>
      <c r="C26" s="134" t="s">
        <v>108</v>
      </c>
      <c r="D26" s="135" t="s">
        <v>94</v>
      </c>
      <c r="E26" s="135">
        <v>11</v>
      </c>
      <c r="F26" s="135"/>
      <c r="G26" s="136">
        <f>VLOOKUP($C26,Quali!$B:$N,6,0)</f>
        <v>224</v>
      </c>
      <c r="H26" s="136">
        <f>VLOOKUP($C26,Quali!$B:$N,7,0)</f>
        <v>238</v>
      </c>
      <c r="I26" s="136">
        <f>VLOOKUP($C26,Quali!$B:$N,8,0)</f>
        <v>204</v>
      </c>
      <c r="J26" s="136">
        <f>VLOOKUP($C26,Quali!$B:$N,9,0)</f>
        <v>188</v>
      </c>
      <c r="K26" s="136">
        <f>VLOOKUP($C26,Quali!$B:$N,10,0)</f>
        <v>171</v>
      </c>
      <c r="L26" s="136">
        <f>VLOOKUP($C26,Quali!$B:$N,11,0)</f>
        <v>203</v>
      </c>
      <c r="M26" s="136">
        <f>VLOOKUP($C26,Quali!$B:$N,12,0)</f>
        <v>202</v>
      </c>
      <c r="N26" s="142">
        <f>VLOOKUP($C26,Quali!$B:$N,13,0)</f>
        <v>213</v>
      </c>
      <c r="O26" s="140">
        <f>VLOOKUP($C26,'Zwischenrunde 16'!$B:$J,6,0)</f>
        <v>173</v>
      </c>
      <c r="P26" s="136">
        <f>VLOOKUP($C26,'Zwischenrunde 16'!$B:$J,7,0)</f>
        <v>194</v>
      </c>
      <c r="Q26" s="136">
        <f>VLOOKUP($C26,'Zwischenrunde 16'!$B:$J,8,0)</f>
        <v>153</v>
      </c>
      <c r="R26" s="142">
        <f>VLOOKUP($C26,'Zwischenrunde 16'!$B:$J,9,0)</f>
        <v>181</v>
      </c>
      <c r="S26" s="140"/>
      <c r="T26" s="136"/>
      <c r="U26" s="136"/>
      <c r="V26" s="136"/>
      <c r="W26" s="136"/>
      <c r="X26" s="136"/>
      <c r="Y26" s="136"/>
      <c r="Z26" s="136">
        <f t="shared" si="1"/>
        <v>2344</v>
      </c>
      <c r="AA26" s="136">
        <f t="shared" si="2"/>
        <v>12</v>
      </c>
      <c r="AB26" s="137">
        <f t="shared" si="3"/>
        <v>195.33333333333334</v>
      </c>
      <c r="AC26" s="135">
        <f t="shared" si="4"/>
        <v>132</v>
      </c>
      <c r="AD26" s="135">
        <f t="shared" si="0"/>
        <v>2476</v>
      </c>
      <c r="AE26" s="145">
        <f>AE27</f>
        <v>5024</v>
      </c>
      <c r="AF26" s="16"/>
      <c r="AJ26" s="19"/>
    </row>
    <row r="27" spans="1:36" s="12" customFormat="1" ht="18" customHeight="1">
      <c r="A27" s="144"/>
      <c r="B27" s="133">
        <v>28</v>
      </c>
      <c r="C27" s="134" t="s">
        <v>109</v>
      </c>
      <c r="D27" s="135" t="s">
        <v>94</v>
      </c>
      <c r="E27" s="135">
        <v>1</v>
      </c>
      <c r="F27" s="135"/>
      <c r="G27" s="136">
        <f>VLOOKUP($C27,Quali!$B:$N,6,0)</f>
        <v>193</v>
      </c>
      <c r="H27" s="136">
        <f>VLOOKUP($C27,Quali!$B:$N,7,0)</f>
        <v>201</v>
      </c>
      <c r="I27" s="136">
        <f>VLOOKUP($C27,Quali!$B:$N,8,0)</f>
        <v>299</v>
      </c>
      <c r="J27" s="136">
        <f>VLOOKUP($C27,Quali!$B:$N,9,0)</f>
        <v>226</v>
      </c>
      <c r="K27" s="136">
        <f>VLOOKUP($C27,Quali!$B:$N,10,0)</f>
        <v>221</v>
      </c>
      <c r="L27" s="136">
        <f>VLOOKUP($C27,Quali!$B:$N,11,0)</f>
        <v>203</v>
      </c>
      <c r="M27" s="136">
        <f>VLOOKUP($C27,Quali!$B:$N,12,0)</f>
        <v>204</v>
      </c>
      <c r="N27" s="142">
        <f>VLOOKUP($C27,Quali!$B:$N,13,0)</f>
        <v>202</v>
      </c>
      <c r="O27" s="141">
        <f>VLOOKUP($C27,'Zwischenrunde 16'!$B:$J,6,0)</f>
        <v>236</v>
      </c>
      <c r="P27" s="135">
        <f>VLOOKUP($C27,'Zwischenrunde 16'!$B:$J,7,0)</f>
        <v>184</v>
      </c>
      <c r="Q27" s="135">
        <f>VLOOKUP($C27,'Zwischenrunde 16'!$B:$J,8,0)</f>
        <v>223</v>
      </c>
      <c r="R27" s="143">
        <f>VLOOKUP($C27,'Zwischenrunde 16'!$B:$J,9,0)</f>
        <v>144</v>
      </c>
      <c r="S27" s="141"/>
      <c r="T27" s="135"/>
      <c r="U27" s="135"/>
      <c r="V27" s="135"/>
      <c r="W27" s="135"/>
      <c r="X27" s="135"/>
      <c r="Y27" s="135"/>
      <c r="Z27" s="135">
        <f t="shared" si="1"/>
        <v>2536</v>
      </c>
      <c r="AA27" s="135">
        <f t="shared" si="2"/>
        <v>12</v>
      </c>
      <c r="AB27" s="137">
        <f t="shared" si="3"/>
        <v>211.33333333333334</v>
      </c>
      <c r="AC27" s="135">
        <f t="shared" si="4"/>
        <v>12</v>
      </c>
      <c r="AD27" s="135">
        <f t="shared" si="0"/>
        <v>2548</v>
      </c>
      <c r="AE27" s="146">
        <f>SUM(AD26:AD27)</f>
        <v>5024</v>
      </c>
      <c r="AF27" s="16">
        <f>AE27/2</f>
        <v>2512</v>
      </c>
      <c r="AG27" s="321">
        <f>(Z26+Z27)/24</f>
        <v>203.33333333333334</v>
      </c>
      <c r="AJ27" s="19"/>
    </row>
    <row r="28" spans="1:36" s="12" customFormat="1" ht="18" customHeight="1">
      <c r="A28" s="144">
        <v>13</v>
      </c>
      <c r="B28" s="133">
        <v>25</v>
      </c>
      <c r="C28" s="134" t="s">
        <v>106</v>
      </c>
      <c r="D28" s="135" t="s">
        <v>89</v>
      </c>
      <c r="E28" s="135">
        <v>7</v>
      </c>
      <c r="F28" s="135"/>
      <c r="G28" s="136">
        <f>VLOOKUP($C28,Quali!$B:$N,6,0)</f>
        <v>191</v>
      </c>
      <c r="H28" s="136">
        <f>VLOOKUP($C28,Quali!$B:$N,7,0)</f>
        <v>225</v>
      </c>
      <c r="I28" s="136">
        <f>VLOOKUP($C28,Quali!$B:$N,8,0)</f>
        <v>216</v>
      </c>
      <c r="J28" s="136">
        <f>VLOOKUP($C28,Quali!$B:$N,9,0)</f>
        <v>189</v>
      </c>
      <c r="K28" s="136">
        <f>VLOOKUP($C28,Quali!$B:$N,10,0)</f>
        <v>190</v>
      </c>
      <c r="L28" s="136">
        <f>VLOOKUP($C28,Quali!$B:$N,11,0)</f>
        <v>148</v>
      </c>
      <c r="M28" s="136">
        <f>VLOOKUP($C28,Quali!$B:$N,12,0)</f>
        <v>233</v>
      </c>
      <c r="N28" s="142">
        <f>VLOOKUP($C28,Quali!$B:$N,13,0)</f>
        <v>256</v>
      </c>
      <c r="O28" s="140">
        <f>VLOOKUP($C28,'Zwischenrunde 16'!$B:$J,6,0)</f>
        <v>199</v>
      </c>
      <c r="P28" s="136">
        <f>VLOOKUP($C28,'Zwischenrunde 16'!$B:$J,7,0)</f>
        <v>206</v>
      </c>
      <c r="Q28" s="136">
        <f>VLOOKUP($C28,'Zwischenrunde 16'!$B:$J,8,0)</f>
        <v>187</v>
      </c>
      <c r="R28" s="142">
        <f>VLOOKUP($C28,'Zwischenrunde 16'!$B:$J,9,0)</f>
        <v>154</v>
      </c>
      <c r="S28" s="140"/>
      <c r="T28" s="136"/>
      <c r="U28" s="136"/>
      <c r="V28" s="136"/>
      <c r="W28" s="136"/>
      <c r="X28" s="136"/>
      <c r="Y28" s="136"/>
      <c r="Z28" s="136">
        <f t="shared" si="1"/>
        <v>2394</v>
      </c>
      <c r="AA28" s="136">
        <f t="shared" si="2"/>
        <v>12</v>
      </c>
      <c r="AB28" s="137">
        <f t="shared" si="3"/>
        <v>199.5</v>
      </c>
      <c r="AC28" s="135">
        <f t="shared" si="4"/>
        <v>84</v>
      </c>
      <c r="AD28" s="135">
        <f t="shared" si="0"/>
        <v>2478</v>
      </c>
      <c r="AE28" s="145">
        <f>AE29</f>
        <v>4930</v>
      </c>
      <c r="AF28" s="16"/>
      <c r="AJ28" s="19"/>
    </row>
    <row r="29" spans="1:36" s="12" customFormat="1" ht="18" customHeight="1">
      <c r="A29" s="144"/>
      <c r="B29" s="133">
        <v>26</v>
      </c>
      <c r="C29" s="134" t="s">
        <v>107</v>
      </c>
      <c r="D29" s="135" t="s">
        <v>89</v>
      </c>
      <c r="E29" s="135">
        <v>14</v>
      </c>
      <c r="F29" s="135"/>
      <c r="G29" s="136">
        <f>VLOOKUP($C29,Quali!$B:$N,6,0)</f>
        <v>213</v>
      </c>
      <c r="H29" s="136">
        <f>VLOOKUP($C29,Quali!$B:$N,7,0)</f>
        <v>168</v>
      </c>
      <c r="I29" s="136">
        <f>VLOOKUP($C29,Quali!$B:$N,8,0)</f>
        <v>197</v>
      </c>
      <c r="J29" s="136">
        <f>VLOOKUP($C29,Quali!$B:$N,9,0)</f>
        <v>183</v>
      </c>
      <c r="K29" s="136">
        <f>VLOOKUP($C29,Quali!$B:$N,10,0)</f>
        <v>202</v>
      </c>
      <c r="L29" s="136">
        <f>VLOOKUP($C29,Quali!$B:$N,11,0)</f>
        <v>199</v>
      </c>
      <c r="M29" s="136">
        <f>VLOOKUP($C29,Quali!$B:$N,12,0)</f>
        <v>161</v>
      </c>
      <c r="N29" s="142">
        <f>VLOOKUP($C29,Quali!$B:$N,13,0)</f>
        <v>246</v>
      </c>
      <c r="O29" s="141">
        <f>VLOOKUP($C29,'Zwischenrunde 16'!$B:$J,6,0)</f>
        <v>158</v>
      </c>
      <c r="P29" s="135">
        <f>VLOOKUP($C29,'Zwischenrunde 16'!$B:$J,7,0)</f>
        <v>208</v>
      </c>
      <c r="Q29" s="135">
        <f>VLOOKUP($C29,'Zwischenrunde 16'!$B:$J,8,0)</f>
        <v>182</v>
      </c>
      <c r="R29" s="143">
        <f>VLOOKUP($C29,'Zwischenrunde 16'!$B:$J,9,0)</f>
        <v>167</v>
      </c>
      <c r="S29" s="141"/>
      <c r="T29" s="135"/>
      <c r="U29" s="135"/>
      <c r="V29" s="135"/>
      <c r="W29" s="135"/>
      <c r="X29" s="135"/>
      <c r="Y29" s="135"/>
      <c r="Z29" s="135">
        <f t="shared" si="1"/>
        <v>2284</v>
      </c>
      <c r="AA29" s="135">
        <f t="shared" si="2"/>
        <v>12</v>
      </c>
      <c r="AB29" s="137">
        <f t="shared" si="3"/>
        <v>190.33333333333334</v>
      </c>
      <c r="AC29" s="135">
        <f t="shared" si="4"/>
        <v>168</v>
      </c>
      <c r="AD29" s="135">
        <f t="shared" si="0"/>
        <v>2452</v>
      </c>
      <c r="AE29" s="146">
        <f>SUM(AD28:AD29)</f>
        <v>4930</v>
      </c>
      <c r="AF29" s="16">
        <f>AE29/2</f>
        <v>2465</v>
      </c>
      <c r="AG29" s="321">
        <f>(Z28+Z29)/24</f>
        <v>194.91666666666666</v>
      </c>
      <c r="AJ29" s="19"/>
    </row>
    <row r="30" spans="1:36" s="12" customFormat="1" ht="18" customHeight="1">
      <c r="A30" s="144">
        <v>14</v>
      </c>
      <c r="B30" s="133">
        <v>19</v>
      </c>
      <c r="C30" s="138" t="s">
        <v>128</v>
      </c>
      <c r="D30" s="135" t="s">
        <v>99</v>
      </c>
      <c r="E30" s="135">
        <v>4</v>
      </c>
      <c r="F30" s="135"/>
      <c r="G30" s="136">
        <f>VLOOKUP($C30,Quali!$B:$N,6,0)</f>
        <v>246</v>
      </c>
      <c r="H30" s="136">
        <f>VLOOKUP($C30,Quali!$B:$N,7,0)</f>
        <v>227</v>
      </c>
      <c r="I30" s="136">
        <f>VLOOKUP($C30,Quali!$B:$N,8,0)</f>
        <v>234</v>
      </c>
      <c r="J30" s="136">
        <f>VLOOKUP($C30,Quali!$B:$N,9,0)</f>
        <v>177</v>
      </c>
      <c r="K30" s="136">
        <f>VLOOKUP($C30,Quali!$B:$N,10,0)</f>
        <v>235</v>
      </c>
      <c r="L30" s="136">
        <f>VLOOKUP($C30,Quali!$B:$N,11,0)</f>
        <v>246</v>
      </c>
      <c r="M30" s="136">
        <f>VLOOKUP($C30,Quali!$B:$N,12,0)</f>
        <v>248</v>
      </c>
      <c r="N30" s="142">
        <f>VLOOKUP($C30,Quali!$B:$N,13,0)</f>
        <v>156</v>
      </c>
      <c r="O30" s="140">
        <f>VLOOKUP($C30,'Zwischenrunde 16'!$B:$J,6,0)</f>
        <v>188</v>
      </c>
      <c r="P30" s="136">
        <f>VLOOKUP($C30,'Zwischenrunde 16'!$B:$J,7,0)</f>
        <v>173</v>
      </c>
      <c r="Q30" s="136">
        <f>VLOOKUP($C30,'Zwischenrunde 16'!$B:$J,8,0)</f>
        <v>154</v>
      </c>
      <c r="R30" s="142">
        <f>VLOOKUP($C30,'Zwischenrunde 16'!$B:$J,9,0)</f>
        <v>179</v>
      </c>
      <c r="S30" s="140"/>
      <c r="T30" s="136"/>
      <c r="U30" s="136"/>
      <c r="V30" s="136"/>
      <c r="W30" s="136"/>
      <c r="X30" s="136"/>
      <c r="Y30" s="136"/>
      <c r="Z30" s="136">
        <f t="shared" si="1"/>
        <v>2463</v>
      </c>
      <c r="AA30" s="136">
        <f t="shared" si="2"/>
        <v>12</v>
      </c>
      <c r="AB30" s="137">
        <f t="shared" si="3"/>
        <v>205.25</v>
      </c>
      <c r="AC30" s="135">
        <f t="shared" si="4"/>
        <v>48</v>
      </c>
      <c r="AD30" s="135">
        <f t="shared" si="0"/>
        <v>2511</v>
      </c>
      <c r="AE30" s="145">
        <f>AE31</f>
        <v>4803</v>
      </c>
      <c r="AF30" s="16"/>
      <c r="AJ30" s="19"/>
    </row>
    <row r="31" spans="1:36" s="12" customFormat="1" ht="18" customHeight="1">
      <c r="A31" s="144"/>
      <c r="B31" s="133">
        <v>20</v>
      </c>
      <c r="C31" s="134" t="s">
        <v>129</v>
      </c>
      <c r="D31" s="135" t="s">
        <v>99</v>
      </c>
      <c r="E31" s="135">
        <v>3</v>
      </c>
      <c r="F31" s="135"/>
      <c r="G31" s="136">
        <f>VLOOKUP($C31,Quali!$B:$N,6,0)</f>
        <v>194</v>
      </c>
      <c r="H31" s="136">
        <f>VLOOKUP($C31,Quali!$B:$N,7,0)</f>
        <v>219</v>
      </c>
      <c r="I31" s="136">
        <f>VLOOKUP($C31,Quali!$B:$N,8,0)</f>
        <v>158</v>
      </c>
      <c r="J31" s="136">
        <f>VLOOKUP($C31,Quali!$B:$N,9,0)</f>
        <v>191</v>
      </c>
      <c r="K31" s="136">
        <f>VLOOKUP($C31,Quali!$B:$N,10,0)</f>
        <v>177</v>
      </c>
      <c r="L31" s="136">
        <f>VLOOKUP($C31,Quali!$B:$N,11,0)</f>
        <v>177</v>
      </c>
      <c r="M31" s="136">
        <f>VLOOKUP($C31,Quali!$B:$N,12,0)</f>
        <v>163</v>
      </c>
      <c r="N31" s="142">
        <f>VLOOKUP($C31,Quali!$B:$N,13,0)</f>
        <v>172</v>
      </c>
      <c r="O31" s="141">
        <f>VLOOKUP($C31,'Zwischenrunde 16'!$B:$J,6,0)</f>
        <v>168</v>
      </c>
      <c r="P31" s="135">
        <f>VLOOKUP($C31,'Zwischenrunde 16'!$B:$J,7,0)</f>
        <v>235</v>
      </c>
      <c r="Q31" s="135">
        <f>VLOOKUP($C31,'Zwischenrunde 16'!$B:$J,8,0)</f>
        <v>156</v>
      </c>
      <c r="R31" s="143">
        <f>VLOOKUP($C31,'Zwischenrunde 16'!$B:$J,9,0)</f>
        <v>246</v>
      </c>
      <c r="S31" s="141"/>
      <c r="T31" s="135"/>
      <c r="U31" s="135"/>
      <c r="V31" s="135"/>
      <c r="W31" s="135"/>
      <c r="X31" s="135"/>
      <c r="Y31" s="135"/>
      <c r="Z31" s="135">
        <f t="shared" si="1"/>
        <v>2256</v>
      </c>
      <c r="AA31" s="135">
        <f t="shared" si="2"/>
        <v>12</v>
      </c>
      <c r="AB31" s="137">
        <f t="shared" si="3"/>
        <v>188</v>
      </c>
      <c r="AC31" s="135">
        <f t="shared" si="4"/>
        <v>36</v>
      </c>
      <c r="AD31" s="135">
        <f t="shared" si="0"/>
        <v>2292</v>
      </c>
      <c r="AE31" s="146">
        <f>SUM(AD30:AD31)</f>
        <v>4803</v>
      </c>
      <c r="AF31" s="16">
        <f>AE31/2</f>
        <v>2401.5</v>
      </c>
      <c r="AG31" s="321">
        <f>(Z30+Z31)/24</f>
        <v>196.625</v>
      </c>
      <c r="AJ31" s="19"/>
    </row>
    <row r="32" spans="1:36" s="12" customFormat="1" ht="18" customHeight="1">
      <c r="A32" s="144">
        <v>15</v>
      </c>
      <c r="B32" s="133">
        <v>31</v>
      </c>
      <c r="C32" s="134" t="s">
        <v>183</v>
      </c>
      <c r="D32" s="135" t="s">
        <v>125</v>
      </c>
      <c r="E32" s="135">
        <v>5</v>
      </c>
      <c r="F32" s="135"/>
      <c r="G32" s="136">
        <f>VLOOKUP($C32,Quali!$B:$N,6,0)</f>
        <v>210</v>
      </c>
      <c r="H32" s="136">
        <f>VLOOKUP($C32,Quali!$B:$N,7,0)</f>
        <v>203</v>
      </c>
      <c r="I32" s="136">
        <f>VLOOKUP($C32,Quali!$B:$N,8,0)</f>
        <v>225</v>
      </c>
      <c r="J32" s="136">
        <f>VLOOKUP($C32,Quali!$B:$N,9,0)</f>
        <v>156</v>
      </c>
      <c r="K32" s="136">
        <f>VLOOKUP($C32,Quali!$B:$N,10,0)</f>
        <v>208</v>
      </c>
      <c r="L32" s="136">
        <f>VLOOKUP($C32,Quali!$B:$N,11,0)</f>
        <v>214</v>
      </c>
      <c r="M32" s="136">
        <f>VLOOKUP($C32,Quali!$B:$N,12,0)</f>
        <v>177</v>
      </c>
      <c r="N32" s="142">
        <f>VLOOKUP($C32,Quali!$B:$N,13,0)</f>
        <v>215</v>
      </c>
      <c r="O32" s="140">
        <f>VLOOKUP($C32,'Zwischenrunde 16'!$B:$J,6,0)</f>
        <v>170</v>
      </c>
      <c r="P32" s="136">
        <f>VLOOKUP($C32,'Zwischenrunde 16'!$B:$J,7,0)</f>
        <v>189</v>
      </c>
      <c r="Q32" s="136">
        <f>VLOOKUP($C32,'Zwischenrunde 16'!$B:$J,8,0)</f>
        <v>233</v>
      </c>
      <c r="R32" s="142">
        <f>VLOOKUP($C32,'Zwischenrunde 16'!$B:$J,9,0)</f>
        <v>170</v>
      </c>
      <c r="S32" s="140"/>
      <c r="T32" s="136"/>
      <c r="U32" s="136"/>
      <c r="V32" s="136"/>
      <c r="W32" s="136"/>
      <c r="X32" s="136"/>
      <c r="Y32" s="136"/>
      <c r="Z32" s="136">
        <f t="shared" si="1"/>
        <v>2370</v>
      </c>
      <c r="AA32" s="136">
        <f t="shared" si="2"/>
        <v>12</v>
      </c>
      <c r="AB32" s="137">
        <f t="shared" si="3"/>
        <v>197.5</v>
      </c>
      <c r="AC32" s="135">
        <f t="shared" si="4"/>
        <v>60</v>
      </c>
      <c r="AD32" s="135">
        <f t="shared" si="0"/>
        <v>2430</v>
      </c>
      <c r="AE32" s="145">
        <f>AE33</f>
        <v>4815</v>
      </c>
      <c r="AF32" s="16"/>
      <c r="AJ32" s="19"/>
    </row>
    <row r="33" spans="1:36" s="12" customFormat="1" ht="18" customHeight="1">
      <c r="A33" s="144"/>
      <c r="B33" s="133">
        <v>32</v>
      </c>
      <c r="C33" s="138" t="s">
        <v>184</v>
      </c>
      <c r="D33" s="135" t="s">
        <v>125</v>
      </c>
      <c r="E33" s="135">
        <v>2</v>
      </c>
      <c r="F33" s="135"/>
      <c r="G33" s="136">
        <f>VLOOKUP($C33,Quali!$B:$N,6,0)</f>
        <v>166</v>
      </c>
      <c r="H33" s="136">
        <f>VLOOKUP($C33,Quali!$B:$N,7,0)</f>
        <v>222</v>
      </c>
      <c r="I33" s="136">
        <f>VLOOKUP($C33,Quali!$B:$N,8,0)</f>
        <v>253</v>
      </c>
      <c r="J33" s="136">
        <f>VLOOKUP($C33,Quali!$B:$N,9,0)</f>
        <v>191</v>
      </c>
      <c r="K33" s="136">
        <f>VLOOKUP($C33,Quali!$B:$N,10,0)</f>
        <v>200</v>
      </c>
      <c r="L33" s="136">
        <f>VLOOKUP($C33,Quali!$B:$N,11,0)</f>
        <v>242</v>
      </c>
      <c r="M33" s="136">
        <f>VLOOKUP($C33,Quali!$B:$N,12,0)</f>
        <v>204</v>
      </c>
      <c r="N33" s="142">
        <f>VLOOKUP($C33,Quali!$B:$N,13,0)</f>
        <v>185</v>
      </c>
      <c r="O33" s="141">
        <f>VLOOKUP($C33,'Zwischenrunde 16'!$B:$J,6,0)</f>
        <v>173</v>
      </c>
      <c r="P33" s="135">
        <f>VLOOKUP($C33,'Zwischenrunde 16'!$B:$J,7,0)</f>
        <v>148</v>
      </c>
      <c r="Q33" s="135">
        <f>VLOOKUP($C33,'Zwischenrunde 16'!$B:$J,8,0)</f>
        <v>186</v>
      </c>
      <c r="R33" s="143">
        <f>VLOOKUP($C33,'Zwischenrunde 16'!$B:$J,9,0)</f>
        <v>191</v>
      </c>
      <c r="S33" s="141"/>
      <c r="T33" s="135"/>
      <c r="U33" s="135"/>
      <c r="V33" s="135"/>
      <c r="W33" s="135"/>
      <c r="X33" s="135"/>
      <c r="Y33" s="135"/>
      <c r="Z33" s="135">
        <f t="shared" si="1"/>
        <v>2361</v>
      </c>
      <c r="AA33" s="135">
        <f t="shared" si="2"/>
        <v>12</v>
      </c>
      <c r="AB33" s="137">
        <f t="shared" si="3"/>
        <v>196.75</v>
      </c>
      <c r="AC33" s="135">
        <f t="shared" si="4"/>
        <v>24</v>
      </c>
      <c r="AD33" s="135">
        <f t="shared" si="0"/>
        <v>2385</v>
      </c>
      <c r="AE33" s="146">
        <f>SUM(AD32:AD33)</f>
        <v>4815</v>
      </c>
      <c r="AF33" s="16">
        <f>AE33/2</f>
        <v>2407.5</v>
      </c>
      <c r="AG33" s="321">
        <f>(Z32+Z33)/24</f>
        <v>197.125</v>
      </c>
      <c r="AJ33" s="19"/>
    </row>
    <row r="34" spans="1:36" s="12" customFormat="1" ht="18" customHeight="1">
      <c r="A34" s="144">
        <v>16</v>
      </c>
      <c r="B34" s="133">
        <v>29</v>
      </c>
      <c r="C34" s="138" t="s">
        <v>101</v>
      </c>
      <c r="D34" s="135" t="s">
        <v>99</v>
      </c>
      <c r="E34" s="135">
        <v>6</v>
      </c>
      <c r="F34" s="135"/>
      <c r="G34" s="136">
        <f>VLOOKUP($C34,Quali!$B:$N,6,0)</f>
        <v>214</v>
      </c>
      <c r="H34" s="136">
        <f>VLOOKUP($C34,Quali!$B:$N,7,0)</f>
        <v>277</v>
      </c>
      <c r="I34" s="136">
        <f>VLOOKUP($C34,Quali!$B:$N,8,0)</f>
        <v>209</v>
      </c>
      <c r="J34" s="136">
        <f>VLOOKUP($C34,Quali!$B:$N,9,0)</f>
        <v>212</v>
      </c>
      <c r="K34" s="136">
        <f>VLOOKUP($C34,Quali!$B:$N,10,0)</f>
        <v>249</v>
      </c>
      <c r="L34" s="136">
        <f>VLOOKUP($C34,Quali!$B:$N,11,0)</f>
        <v>221</v>
      </c>
      <c r="M34" s="136">
        <f>VLOOKUP($C34,Quali!$B:$N,12,0)</f>
        <v>213</v>
      </c>
      <c r="N34" s="142">
        <f>VLOOKUP($C34,Quali!$B:$N,13,0)</f>
        <v>178</v>
      </c>
      <c r="O34" s="140">
        <f>VLOOKUP($C34,'Zwischenrunde 16'!$B:$J,6,0)</f>
        <v>187</v>
      </c>
      <c r="P34" s="136">
        <f>VLOOKUP($C34,'Zwischenrunde 16'!$B:$J,7,0)</f>
        <v>193</v>
      </c>
      <c r="Q34" s="136">
        <f>VLOOKUP($C34,'Zwischenrunde 16'!$B:$J,8,0)</f>
        <v>191</v>
      </c>
      <c r="R34" s="142">
        <f>VLOOKUP($C34,'Zwischenrunde 16'!$B:$J,9,0)</f>
        <v>202</v>
      </c>
      <c r="S34" s="140"/>
      <c r="T34" s="136"/>
      <c r="U34" s="136"/>
      <c r="V34" s="136"/>
      <c r="W34" s="136"/>
      <c r="X34" s="136"/>
      <c r="Y34" s="136"/>
      <c r="Z34" s="136">
        <f t="shared" si="1"/>
        <v>2546</v>
      </c>
      <c r="AA34" s="136">
        <f t="shared" si="2"/>
        <v>12</v>
      </c>
      <c r="AB34" s="137">
        <f t="shared" si="3"/>
        <v>212.16666666666666</v>
      </c>
      <c r="AC34" s="135">
        <f t="shared" si="4"/>
        <v>72</v>
      </c>
      <c r="AD34" s="135">
        <f t="shared" si="0"/>
        <v>2618</v>
      </c>
      <c r="AE34" s="145">
        <f>AE35</f>
        <v>4790</v>
      </c>
      <c r="AF34" s="16"/>
      <c r="AJ34" s="19"/>
    </row>
    <row r="35" spans="1:36" s="12" customFormat="1" ht="18" customHeight="1" thickBot="1">
      <c r="A35" s="148"/>
      <c r="B35" s="149">
        <v>30</v>
      </c>
      <c r="C35" s="150" t="s">
        <v>102</v>
      </c>
      <c r="D35" s="151" t="s">
        <v>99</v>
      </c>
      <c r="E35" s="151">
        <v>8</v>
      </c>
      <c r="F35" s="151"/>
      <c r="G35" s="152">
        <f>VLOOKUP($C35,Quali!$B:$N,6,0)</f>
        <v>203</v>
      </c>
      <c r="H35" s="152">
        <f>VLOOKUP($C35,Quali!$B:$N,7,0)</f>
        <v>217</v>
      </c>
      <c r="I35" s="152">
        <f>VLOOKUP($C35,Quali!$B:$N,8,0)</f>
        <v>214</v>
      </c>
      <c r="J35" s="152">
        <f>VLOOKUP($C35,Quali!$B:$N,9,0)</f>
        <v>190</v>
      </c>
      <c r="K35" s="152">
        <f>VLOOKUP($C35,Quali!$B:$N,10,0)</f>
        <v>170</v>
      </c>
      <c r="L35" s="152">
        <f>VLOOKUP($C35,Quali!$B:$N,11,0)</f>
        <v>170</v>
      </c>
      <c r="M35" s="152">
        <f>VLOOKUP($C35,Quali!$B:$N,12,0)</f>
        <v>129</v>
      </c>
      <c r="N35" s="153">
        <f>VLOOKUP($C35,Quali!$B:$N,13,0)</f>
        <v>176</v>
      </c>
      <c r="O35" s="154">
        <f>VLOOKUP($C35,'Zwischenrunde 16'!$B:$J,6,0)</f>
        <v>0</v>
      </c>
      <c r="P35" s="152">
        <f>VLOOKUP($C35,'Zwischenrunde 16'!$B:$J,7,0)</f>
        <v>213</v>
      </c>
      <c r="Q35" s="152">
        <f>VLOOKUP($C35,'Zwischenrunde 16'!$B:$J,8,0)</f>
        <v>188</v>
      </c>
      <c r="R35" s="153">
        <f>VLOOKUP($C35,'Zwischenrunde 16'!$B:$J,9,0)</f>
        <v>206</v>
      </c>
      <c r="S35" s="154"/>
      <c r="T35" s="152"/>
      <c r="U35" s="152"/>
      <c r="V35" s="152"/>
      <c r="W35" s="152"/>
      <c r="X35" s="152"/>
      <c r="Y35" s="152"/>
      <c r="Z35" s="151">
        <f t="shared" si="1"/>
        <v>2076</v>
      </c>
      <c r="AA35" s="151">
        <f t="shared" si="2"/>
        <v>12</v>
      </c>
      <c r="AB35" s="155">
        <f t="shared" si="3"/>
        <v>173</v>
      </c>
      <c r="AC35" s="151">
        <f t="shared" si="4"/>
        <v>96</v>
      </c>
      <c r="AD35" s="151">
        <f t="shared" si="0"/>
        <v>2172</v>
      </c>
      <c r="AE35" s="156">
        <f>SUM(AD34:AD35)</f>
        <v>4790</v>
      </c>
      <c r="AF35" s="16">
        <f>AE35/2</f>
        <v>2395</v>
      </c>
      <c r="AG35" s="321">
        <f>(Z34+Z35)/24</f>
        <v>192.58333333333334</v>
      </c>
      <c r="AJ35" s="19"/>
    </row>
    <row r="36" spans="1:31" s="12" customFormat="1" ht="18" customHeight="1">
      <c r="A36" s="157">
        <v>17</v>
      </c>
      <c r="B36" s="158">
        <v>27</v>
      </c>
      <c r="C36" s="159" t="s">
        <v>138</v>
      </c>
      <c r="D36" s="160" t="s">
        <v>99</v>
      </c>
      <c r="E36" s="160">
        <v>0</v>
      </c>
      <c r="F36" s="160"/>
      <c r="G36" s="161">
        <f>VLOOKUP($C36,Quali!$B:$N,6,0)</f>
        <v>195</v>
      </c>
      <c r="H36" s="161">
        <f>VLOOKUP($C36,Quali!$B:$N,7,0)</f>
        <v>213</v>
      </c>
      <c r="I36" s="161">
        <f>VLOOKUP($C36,Quali!$B:$N,8,0)</f>
        <v>170</v>
      </c>
      <c r="J36" s="161">
        <f>VLOOKUP($C36,Quali!$B:$N,9,0)</f>
        <v>266</v>
      </c>
      <c r="K36" s="161">
        <f>VLOOKUP($C36,Quali!$B:$N,10,0)</f>
        <v>206</v>
      </c>
      <c r="L36" s="161">
        <f>VLOOKUP($C36,Quali!$B:$N,11,0)</f>
        <v>227</v>
      </c>
      <c r="M36" s="161">
        <f>VLOOKUP($C36,Quali!$B:$N,12,0)</f>
        <v>203</v>
      </c>
      <c r="N36" s="162">
        <f>VLOOKUP($C36,Quali!$B:$N,13,0)</f>
        <v>189</v>
      </c>
      <c r="O36" s="163"/>
      <c r="P36" s="161"/>
      <c r="Q36" s="161"/>
      <c r="R36" s="161"/>
      <c r="S36" s="161"/>
      <c r="T36" s="161"/>
      <c r="U36" s="161"/>
      <c r="V36" s="161"/>
      <c r="W36" s="161"/>
      <c r="X36" s="161"/>
      <c r="Y36" s="161"/>
      <c r="Z36" s="161">
        <f t="shared" si="1"/>
        <v>1669</v>
      </c>
      <c r="AA36" s="161">
        <f t="shared" si="2"/>
        <v>8</v>
      </c>
      <c r="AB36" s="166">
        <f t="shared" si="3"/>
        <v>208.625</v>
      </c>
      <c r="AC36" s="160">
        <f t="shared" si="4"/>
        <v>0</v>
      </c>
      <c r="AD36" s="160">
        <f aca="true" t="shared" si="5" ref="AD36:AD67">Z36+AC36</f>
        <v>1669</v>
      </c>
      <c r="AE36" s="167">
        <f>AE37</f>
        <v>3245</v>
      </c>
    </row>
    <row r="37" spans="1:31" s="12" customFormat="1" ht="18" customHeight="1">
      <c r="A37" s="144"/>
      <c r="B37" s="133">
        <v>28</v>
      </c>
      <c r="C37" s="134" t="s">
        <v>139</v>
      </c>
      <c r="D37" s="135" t="s">
        <v>99</v>
      </c>
      <c r="E37" s="135">
        <v>3</v>
      </c>
      <c r="F37" s="135"/>
      <c r="G37" s="136">
        <f>VLOOKUP($C37,Quali!$B:$N,6,0)</f>
        <v>181</v>
      </c>
      <c r="H37" s="136">
        <f>VLOOKUP($C37,Quali!$B:$N,7,0)</f>
        <v>215</v>
      </c>
      <c r="I37" s="136">
        <f>VLOOKUP($C37,Quali!$B:$N,8,0)</f>
        <v>217</v>
      </c>
      <c r="J37" s="136">
        <f>VLOOKUP($C37,Quali!$B:$N,9,0)</f>
        <v>171</v>
      </c>
      <c r="K37" s="136">
        <f>VLOOKUP($C37,Quali!$B:$N,10,0)</f>
        <v>238</v>
      </c>
      <c r="L37" s="136">
        <f>VLOOKUP($C37,Quali!$B:$N,11,0)</f>
        <v>192</v>
      </c>
      <c r="M37" s="136">
        <f>VLOOKUP($C37,Quali!$B:$N,12,0)</f>
        <v>159</v>
      </c>
      <c r="N37" s="142">
        <f>VLOOKUP($C37,Quali!$B:$N,13,0)</f>
        <v>179</v>
      </c>
      <c r="O37" s="140"/>
      <c r="P37" s="136"/>
      <c r="Q37" s="136"/>
      <c r="R37" s="136"/>
      <c r="S37" s="136"/>
      <c r="T37" s="136"/>
      <c r="U37" s="136"/>
      <c r="V37" s="136"/>
      <c r="W37" s="136"/>
      <c r="X37" s="136"/>
      <c r="Y37" s="136"/>
      <c r="Z37" s="135">
        <f t="shared" si="1"/>
        <v>1552</v>
      </c>
      <c r="AA37" s="135">
        <f t="shared" si="2"/>
        <v>8</v>
      </c>
      <c r="AB37" s="137">
        <f t="shared" si="3"/>
        <v>194</v>
      </c>
      <c r="AC37" s="135">
        <f t="shared" si="4"/>
        <v>24</v>
      </c>
      <c r="AD37" s="135">
        <f t="shared" si="5"/>
        <v>1576</v>
      </c>
      <c r="AE37" s="147">
        <f>SUM(AD36:AD37)</f>
        <v>3245</v>
      </c>
    </row>
    <row r="38" spans="1:31" s="12" customFormat="1" ht="18" customHeight="1">
      <c r="A38" s="144">
        <v>18</v>
      </c>
      <c r="B38" s="133">
        <v>29</v>
      </c>
      <c r="C38" s="134" t="s">
        <v>103</v>
      </c>
      <c r="D38" s="135" t="s">
        <v>89</v>
      </c>
      <c r="E38" s="135">
        <v>2</v>
      </c>
      <c r="F38" s="135" t="s">
        <v>167</v>
      </c>
      <c r="G38" s="136">
        <f>VLOOKUP($C38,Quali!$B:$N,6,0)</f>
        <v>236</v>
      </c>
      <c r="H38" s="136">
        <f>VLOOKUP($C38,Quali!$B:$N,7,0)</f>
        <v>202</v>
      </c>
      <c r="I38" s="136">
        <f>VLOOKUP($C38,Quali!$B:$N,8,0)</f>
        <v>225</v>
      </c>
      <c r="J38" s="136">
        <f>VLOOKUP($C38,Quali!$B:$N,9,0)</f>
        <v>257</v>
      </c>
      <c r="K38" s="136">
        <f>VLOOKUP($C38,Quali!$B:$N,10,0)</f>
        <v>202</v>
      </c>
      <c r="L38" s="136">
        <f>VLOOKUP($C38,Quali!$B:$N,11,0)</f>
        <v>202</v>
      </c>
      <c r="M38" s="136">
        <f>VLOOKUP($C38,Quali!$B:$N,12,0)</f>
        <v>158</v>
      </c>
      <c r="N38" s="142">
        <f>VLOOKUP($C38,Quali!$B:$N,13,0)</f>
        <v>197</v>
      </c>
      <c r="O38" s="140"/>
      <c r="P38" s="136"/>
      <c r="Q38" s="136"/>
      <c r="R38" s="136"/>
      <c r="S38" s="136"/>
      <c r="T38" s="136"/>
      <c r="U38" s="136"/>
      <c r="V38" s="136"/>
      <c r="W38" s="136"/>
      <c r="X38" s="136"/>
      <c r="Y38" s="136"/>
      <c r="Z38" s="136">
        <f t="shared" si="1"/>
        <v>1679</v>
      </c>
      <c r="AA38" s="136">
        <f t="shared" si="2"/>
        <v>8</v>
      </c>
      <c r="AB38" s="137">
        <f t="shared" si="3"/>
        <v>209.875</v>
      </c>
      <c r="AC38" s="135">
        <f t="shared" si="4"/>
        <v>16</v>
      </c>
      <c r="AD38" s="135">
        <f t="shared" si="5"/>
        <v>1695</v>
      </c>
      <c r="AE38" s="145">
        <f>AE39</f>
        <v>3224</v>
      </c>
    </row>
    <row r="39" spans="1:31" s="12" customFormat="1" ht="18" customHeight="1">
      <c r="A39" s="144"/>
      <c r="B39" s="133">
        <v>30</v>
      </c>
      <c r="C39" s="134" t="s">
        <v>176</v>
      </c>
      <c r="D39" s="135" t="s">
        <v>99</v>
      </c>
      <c r="E39" s="135">
        <v>19</v>
      </c>
      <c r="F39" s="135" t="s">
        <v>166</v>
      </c>
      <c r="G39" s="136">
        <f>VLOOKUP($C39,Quali!$B:$N,6,0)</f>
        <v>155</v>
      </c>
      <c r="H39" s="136">
        <f>VLOOKUP($C39,Quali!$B:$N,7,0)</f>
        <v>172</v>
      </c>
      <c r="I39" s="136">
        <f>VLOOKUP($C39,Quali!$B:$N,8,0)</f>
        <v>176</v>
      </c>
      <c r="J39" s="136">
        <f>VLOOKUP($C39,Quali!$B:$N,9,0)</f>
        <v>221</v>
      </c>
      <c r="K39" s="136">
        <f>VLOOKUP($C39,Quali!$B:$N,10,0)</f>
        <v>186</v>
      </c>
      <c r="L39" s="136">
        <f>VLOOKUP($C39,Quali!$B:$N,11,0)</f>
        <v>146</v>
      </c>
      <c r="M39" s="136">
        <f>VLOOKUP($C39,Quali!$B:$N,12,0)</f>
        <v>152</v>
      </c>
      <c r="N39" s="142">
        <f>VLOOKUP($C39,Quali!$B:$N,13,0)</f>
        <v>169</v>
      </c>
      <c r="O39" s="140"/>
      <c r="P39" s="136"/>
      <c r="Q39" s="136"/>
      <c r="R39" s="136"/>
      <c r="S39" s="136"/>
      <c r="T39" s="136"/>
      <c r="U39" s="136"/>
      <c r="V39" s="136"/>
      <c r="W39" s="136"/>
      <c r="X39" s="136"/>
      <c r="Y39" s="136"/>
      <c r="Z39" s="135">
        <f t="shared" si="1"/>
        <v>1377</v>
      </c>
      <c r="AA39" s="135">
        <f t="shared" si="2"/>
        <v>8</v>
      </c>
      <c r="AB39" s="137">
        <f t="shared" si="3"/>
        <v>172.125</v>
      </c>
      <c r="AC39" s="135">
        <f t="shared" si="4"/>
        <v>152</v>
      </c>
      <c r="AD39" s="135">
        <f t="shared" si="5"/>
        <v>1529</v>
      </c>
      <c r="AE39" s="147">
        <f>SUM(AD38:AD39)</f>
        <v>3224</v>
      </c>
    </row>
    <row r="40" spans="1:31" s="12" customFormat="1" ht="18" customHeight="1">
      <c r="A40" s="144">
        <v>19</v>
      </c>
      <c r="B40" s="133">
        <v>31</v>
      </c>
      <c r="C40" s="134" t="s">
        <v>169</v>
      </c>
      <c r="D40" s="135" t="s">
        <v>158</v>
      </c>
      <c r="E40" s="135">
        <v>21</v>
      </c>
      <c r="F40" s="135"/>
      <c r="G40" s="136">
        <f>VLOOKUP($C40,Quali!$B:$N,6,0)</f>
        <v>181</v>
      </c>
      <c r="H40" s="136">
        <f>VLOOKUP($C40,Quali!$B:$N,7,0)</f>
        <v>180</v>
      </c>
      <c r="I40" s="136">
        <f>VLOOKUP($C40,Quali!$B:$N,8,0)</f>
        <v>171</v>
      </c>
      <c r="J40" s="136">
        <f>VLOOKUP($C40,Quali!$B:$N,9,0)</f>
        <v>156</v>
      </c>
      <c r="K40" s="136">
        <f>VLOOKUP($C40,Quali!$B:$N,10,0)</f>
        <v>186</v>
      </c>
      <c r="L40" s="136">
        <f>VLOOKUP($C40,Quali!$B:$N,11,0)</f>
        <v>191</v>
      </c>
      <c r="M40" s="136">
        <f>VLOOKUP($C40,Quali!$B:$N,12,0)</f>
        <v>181</v>
      </c>
      <c r="N40" s="142">
        <f>VLOOKUP($C40,Quali!$B:$N,13,0)</f>
        <v>188</v>
      </c>
      <c r="O40" s="140"/>
      <c r="P40" s="136"/>
      <c r="Q40" s="136"/>
      <c r="R40" s="136"/>
      <c r="S40" s="136"/>
      <c r="T40" s="136"/>
      <c r="U40" s="136"/>
      <c r="V40" s="136"/>
      <c r="W40" s="136"/>
      <c r="X40" s="136"/>
      <c r="Y40" s="136"/>
      <c r="Z40" s="136">
        <f t="shared" si="1"/>
        <v>1434</v>
      </c>
      <c r="AA40" s="136">
        <f t="shared" si="2"/>
        <v>8</v>
      </c>
      <c r="AB40" s="137">
        <f t="shared" si="3"/>
        <v>179.25</v>
      </c>
      <c r="AC40" s="135">
        <f t="shared" si="4"/>
        <v>168</v>
      </c>
      <c r="AD40" s="135">
        <f t="shared" si="5"/>
        <v>1602</v>
      </c>
      <c r="AE40" s="145">
        <f>AE41</f>
        <v>3219</v>
      </c>
    </row>
    <row r="41" spans="1:31" s="12" customFormat="1" ht="18" customHeight="1">
      <c r="A41" s="144"/>
      <c r="B41" s="133">
        <v>32</v>
      </c>
      <c r="C41" s="134" t="s">
        <v>165</v>
      </c>
      <c r="D41" s="135" t="s">
        <v>125</v>
      </c>
      <c r="E41" s="135">
        <v>4</v>
      </c>
      <c r="F41" s="135"/>
      <c r="G41" s="136">
        <f>VLOOKUP($C41,Quali!$B:$N,6,0)</f>
        <v>205</v>
      </c>
      <c r="H41" s="136">
        <f>VLOOKUP($C41,Quali!$B:$N,7,0)</f>
        <v>203</v>
      </c>
      <c r="I41" s="136">
        <f>VLOOKUP($C41,Quali!$B:$N,8,0)</f>
        <v>230</v>
      </c>
      <c r="J41" s="136">
        <f>VLOOKUP($C41,Quali!$B:$N,9,0)</f>
        <v>150</v>
      </c>
      <c r="K41" s="136">
        <f>VLOOKUP($C41,Quali!$B:$N,10,0)</f>
        <v>186</v>
      </c>
      <c r="L41" s="136">
        <f>VLOOKUP($C41,Quali!$B:$N,11,0)</f>
        <v>206</v>
      </c>
      <c r="M41" s="136">
        <f>VLOOKUP($C41,Quali!$B:$N,12,0)</f>
        <v>204</v>
      </c>
      <c r="N41" s="142">
        <f>VLOOKUP($C41,Quali!$B:$N,13,0)</f>
        <v>201</v>
      </c>
      <c r="O41" s="140"/>
      <c r="P41" s="136"/>
      <c r="Q41" s="136"/>
      <c r="R41" s="136"/>
      <c r="S41" s="136"/>
      <c r="T41" s="136"/>
      <c r="U41" s="136"/>
      <c r="V41" s="136"/>
      <c r="W41" s="136"/>
      <c r="X41" s="136"/>
      <c r="Y41" s="136"/>
      <c r="Z41" s="135">
        <f t="shared" si="1"/>
        <v>1585</v>
      </c>
      <c r="AA41" s="135">
        <f t="shared" si="2"/>
        <v>8</v>
      </c>
      <c r="AB41" s="137">
        <f t="shared" si="3"/>
        <v>198.125</v>
      </c>
      <c r="AC41" s="135">
        <f t="shared" si="4"/>
        <v>32</v>
      </c>
      <c r="AD41" s="135">
        <f t="shared" si="5"/>
        <v>1617</v>
      </c>
      <c r="AE41" s="147">
        <f>SUM(AD40:AD41)</f>
        <v>3219</v>
      </c>
    </row>
    <row r="42" spans="1:31" s="12" customFormat="1" ht="18" customHeight="1">
      <c r="A42" s="144">
        <v>20</v>
      </c>
      <c r="B42" s="133">
        <v>105</v>
      </c>
      <c r="C42" s="134" t="s">
        <v>135</v>
      </c>
      <c r="D42" s="135" t="s">
        <v>133</v>
      </c>
      <c r="E42" s="135">
        <v>7</v>
      </c>
      <c r="F42" s="135"/>
      <c r="G42" s="136">
        <f>VLOOKUP($C42,Quali!$B:$N,6,0)</f>
        <v>154</v>
      </c>
      <c r="H42" s="136">
        <f>VLOOKUP($C42,Quali!$B:$N,7,0)</f>
        <v>201</v>
      </c>
      <c r="I42" s="136">
        <f>VLOOKUP($C42,Quali!$B:$N,8,0)</f>
        <v>192</v>
      </c>
      <c r="J42" s="136">
        <f>VLOOKUP($C42,Quali!$B:$N,9,0)</f>
        <v>198</v>
      </c>
      <c r="K42" s="136">
        <f>VLOOKUP($C42,Quali!$B:$N,10,0)</f>
        <v>186</v>
      </c>
      <c r="L42" s="136">
        <f>VLOOKUP($C42,Quali!$B:$N,11,0)</f>
        <v>204</v>
      </c>
      <c r="M42" s="136">
        <f>VLOOKUP($C42,Quali!$B:$N,12,0)</f>
        <v>159</v>
      </c>
      <c r="N42" s="142">
        <f>VLOOKUP($C42,Quali!$B:$N,13,0)</f>
        <v>189</v>
      </c>
      <c r="O42" s="140"/>
      <c r="P42" s="136"/>
      <c r="Q42" s="136"/>
      <c r="R42" s="136"/>
      <c r="S42" s="136"/>
      <c r="T42" s="136"/>
      <c r="U42" s="136"/>
      <c r="V42" s="136"/>
      <c r="W42" s="136"/>
      <c r="X42" s="136"/>
      <c r="Y42" s="136"/>
      <c r="Z42" s="136">
        <f t="shared" si="1"/>
        <v>1483</v>
      </c>
      <c r="AA42" s="136">
        <f t="shared" si="2"/>
        <v>8</v>
      </c>
      <c r="AB42" s="137">
        <f t="shared" si="3"/>
        <v>185.375</v>
      </c>
      <c r="AC42" s="135">
        <f t="shared" si="4"/>
        <v>56</v>
      </c>
      <c r="AD42" s="135">
        <f t="shared" si="5"/>
        <v>1539</v>
      </c>
      <c r="AE42" s="145">
        <f>AE43</f>
        <v>3209</v>
      </c>
    </row>
    <row r="43" spans="1:31" s="12" customFormat="1" ht="18" customHeight="1">
      <c r="A43" s="144"/>
      <c r="B43" s="133">
        <v>106</v>
      </c>
      <c r="C43" s="138" t="s">
        <v>185</v>
      </c>
      <c r="D43" s="135" t="s">
        <v>133</v>
      </c>
      <c r="E43" s="135">
        <v>8</v>
      </c>
      <c r="F43" s="135"/>
      <c r="G43" s="136">
        <f>VLOOKUP($C43,Quali!$B:$N,6,0)</f>
        <v>194</v>
      </c>
      <c r="H43" s="136">
        <f>VLOOKUP($C43,Quali!$B:$N,7,0)</f>
        <v>167</v>
      </c>
      <c r="I43" s="136">
        <f>VLOOKUP($C43,Quali!$B:$N,8,0)</f>
        <v>148</v>
      </c>
      <c r="J43" s="136">
        <f>VLOOKUP($C43,Quali!$B:$N,9,0)</f>
        <v>199</v>
      </c>
      <c r="K43" s="136">
        <f>VLOOKUP($C43,Quali!$B:$N,10,0)</f>
        <v>206</v>
      </c>
      <c r="L43" s="136">
        <f>VLOOKUP($C43,Quali!$B:$N,11,0)</f>
        <v>208</v>
      </c>
      <c r="M43" s="136">
        <f>VLOOKUP($C43,Quali!$B:$N,12,0)</f>
        <v>225</v>
      </c>
      <c r="N43" s="142">
        <f>VLOOKUP($C43,Quali!$B:$N,13,0)</f>
        <v>259</v>
      </c>
      <c r="O43" s="140"/>
      <c r="P43" s="136"/>
      <c r="Q43" s="136"/>
      <c r="R43" s="136"/>
      <c r="S43" s="136"/>
      <c r="T43" s="136"/>
      <c r="U43" s="136"/>
      <c r="V43" s="136"/>
      <c r="W43" s="136"/>
      <c r="X43" s="136"/>
      <c r="Y43" s="136"/>
      <c r="Z43" s="135">
        <f t="shared" si="1"/>
        <v>1606</v>
      </c>
      <c r="AA43" s="135">
        <f t="shared" si="2"/>
        <v>8</v>
      </c>
      <c r="AB43" s="137">
        <f t="shared" si="3"/>
        <v>200.75</v>
      </c>
      <c r="AC43" s="135">
        <f t="shared" si="4"/>
        <v>64</v>
      </c>
      <c r="AD43" s="135">
        <f t="shared" si="5"/>
        <v>1670</v>
      </c>
      <c r="AE43" s="147">
        <f>SUM(AD42:AD43)</f>
        <v>3209</v>
      </c>
    </row>
    <row r="44" spans="1:31" s="12" customFormat="1" ht="18" customHeight="1">
      <c r="A44" s="144">
        <v>21</v>
      </c>
      <c r="B44" s="133">
        <v>33</v>
      </c>
      <c r="C44" s="134" t="s">
        <v>177</v>
      </c>
      <c r="D44" s="135" t="s">
        <v>133</v>
      </c>
      <c r="E44" s="135">
        <v>14</v>
      </c>
      <c r="F44" s="135" t="s">
        <v>167</v>
      </c>
      <c r="G44" s="136">
        <f>VLOOKUP($C44,Quali!$B:$N,6,0)</f>
        <v>204</v>
      </c>
      <c r="H44" s="136">
        <f>VLOOKUP($C44,Quali!$B:$N,7,0)</f>
        <v>177</v>
      </c>
      <c r="I44" s="136">
        <f>VLOOKUP($C44,Quali!$B:$N,8,0)</f>
        <v>209</v>
      </c>
      <c r="J44" s="136">
        <f>VLOOKUP($C44,Quali!$B:$N,9,0)</f>
        <v>182</v>
      </c>
      <c r="K44" s="136">
        <f>VLOOKUP($C44,Quali!$B:$N,10,0)</f>
        <v>131</v>
      </c>
      <c r="L44" s="136">
        <f>VLOOKUP($C44,Quali!$B:$N,11,0)</f>
        <v>164</v>
      </c>
      <c r="M44" s="136">
        <f>VLOOKUP($C44,Quali!$B:$N,12,0)</f>
        <v>197</v>
      </c>
      <c r="N44" s="142">
        <f>VLOOKUP($C44,Quali!$B:$N,13,0)</f>
        <v>215</v>
      </c>
      <c r="O44" s="140"/>
      <c r="P44" s="136"/>
      <c r="Q44" s="136"/>
      <c r="R44" s="136"/>
      <c r="S44" s="136"/>
      <c r="T44" s="136"/>
      <c r="U44" s="136"/>
      <c r="V44" s="136"/>
      <c r="W44" s="136"/>
      <c r="X44" s="136"/>
      <c r="Y44" s="136"/>
      <c r="Z44" s="136">
        <f t="shared" si="1"/>
        <v>1479</v>
      </c>
      <c r="AA44" s="136">
        <f t="shared" si="2"/>
        <v>8</v>
      </c>
      <c r="AB44" s="137">
        <f t="shared" si="3"/>
        <v>184.875</v>
      </c>
      <c r="AC44" s="135">
        <f t="shared" si="4"/>
        <v>112</v>
      </c>
      <c r="AD44" s="135">
        <f t="shared" si="5"/>
        <v>1591</v>
      </c>
      <c r="AE44" s="145">
        <f>AE45</f>
        <v>3203</v>
      </c>
    </row>
    <row r="45" spans="1:31" s="12" customFormat="1" ht="18" customHeight="1">
      <c r="A45" s="144"/>
      <c r="B45" s="133">
        <v>34</v>
      </c>
      <c r="C45" s="134" t="s">
        <v>113</v>
      </c>
      <c r="D45" s="135" t="s">
        <v>133</v>
      </c>
      <c r="E45" s="135">
        <v>13</v>
      </c>
      <c r="F45" s="135" t="s">
        <v>167</v>
      </c>
      <c r="G45" s="136">
        <f>VLOOKUP($C45,Quali!$B:$N,6,0)</f>
        <v>172</v>
      </c>
      <c r="H45" s="136">
        <f>VLOOKUP($C45,Quali!$B:$N,7,0)</f>
        <v>189</v>
      </c>
      <c r="I45" s="136">
        <f>VLOOKUP($C45,Quali!$B:$N,8,0)</f>
        <v>199</v>
      </c>
      <c r="J45" s="136">
        <f>VLOOKUP($C45,Quali!$B:$N,9,0)</f>
        <v>152</v>
      </c>
      <c r="K45" s="136">
        <f>VLOOKUP($C45,Quali!$B:$N,10,0)</f>
        <v>190</v>
      </c>
      <c r="L45" s="136">
        <f>VLOOKUP($C45,Quali!$B:$N,11,0)</f>
        <v>223</v>
      </c>
      <c r="M45" s="136">
        <f>VLOOKUP($C45,Quali!$B:$N,12,0)</f>
        <v>227</v>
      </c>
      <c r="N45" s="142">
        <f>VLOOKUP($C45,Quali!$B:$N,13,0)</f>
        <v>156</v>
      </c>
      <c r="O45" s="140"/>
      <c r="P45" s="136"/>
      <c r="Q45" s="136"/>
      <c r="R45" s="136"/>
      <c r="S45" s="136"/>
      <c r="T45" s="136"/>
      <c r="U45" s="136"/>
      <c r="V45" s="136"/>
      <c r="W45" s="136"/>
      <c r="X45" s="136"/>
      <c r="Y45" s="136"/>
      <c r="Z45" s="135">
        <f t="shared" si="1"/>
        <v>1508</v>
      </c>
      <c r="AA45" s="135">
        <f t="shared" si="2"/>
        <v>8</v>
      </c>
      <c r="AB45" s="137">
        <f t="shared" si="3"/>
        <v>188.5</v>
      </c>
      <c r="AC45" s="135">
        <f t="shared" si="4"/>
        <v>104</v>
      </c>
      <c r="AD45" s="135">
        <f t="shared" si="5"/>
        <v>1612</v>
      </c>
      <c r="AE45" s="147">
        <f>SUM(AD44:AD45)</f>
        <v>3203</v>
      </c>
    </row>
    <row r="46" spans="1:31" s="12" customFormat="1" ht="18" customHeight="1">
      <c r="A46" s="144">
        <v>22</v>
      </c>
      <c r="B46" s="133">
        <v>35</v>
      </c>
      <c r="C46" s="134" t="s">
        <v>130</v>
      </c>
      <c r="D46" s="135" t="s">
        <v>99</v>
      </c>
      <c r="E46" s="135">
        <v>14</v>
      </c>
      <c r="F46" s="135"/>
      <c r="G46" s="136">
        <f>VLOOKUP($C46,Quali!$B:$N,6,0)</f>
        <v>170</v>
      </c>
      <c r="H46" s="136">
        <f>VLOOKUP($C46,Quali!$B:$N,7,0)</f>
        <v>177</v>
      </c>
      <c r="I46" s="136">
        <f>VLOOKUP($C46,Quali!$B:$N,8,0)</f>
        <v>180</v>
      </c>
      <c r="J46" s="136">
        <f>VLOOKUP($C46,Quali!$B:$N,9,0)</f>
        <v>205</v>
      </c>
      <c r="K46" s="136">
        <f>VLOOKUP($C46,Quali!$B:$N,10,0)</f>
        <v>200</v>
      </c>
      <c r="L46" s="136">
        <f>VLOOKUP($C46,Quali!$B:$N,11,0)</f>
        <v>187</v>
      </c>
      <c r="M46" s="136">
        <f>VLOOKUP($C46,Quali!$B:$N,12,0)</f>
        <v>202</v>
      </c>
      <c r="N46" s="142">
        <f>VLOOKUP($C46,Quali!$B:$N,13,0)</f>
        <v>170</v>
      </c>
      <c r="O46" s="140"/>
      <c r="P46" s="136"/>
      <c r="Q46" s="136"/>
      <c r="R46" s="136"/>
      <c r="S46" s="136"/>
      <c r="T46" s="136"/>
      <c r="U46" s="136"/>
      <c r="V46" s="136"/>
      <c r="W46" s="136"/>
      <c r="X46" s="136"/>
      <c r="Y46" s="136"/>
      <c r="Z46" s="136">
        <f t="shared" si="1"/>
        <v>1491</v>
      </c>
      <c r="AA46" s="136">
        <f t="shared" si="2"/>
        <v>8</v>
      </c>
      <c r="AB46" s="137">
        <f t="shared" si="3"/>
        <v>186.375</v>
      </c>
      <c r="AC46" s="135">
        <f t="shared" si="4"/>
        <v>112</v>
      </c>
      <c r="AD46" s="135">
        <f t="shared" si="5"/>
        <v>1603</v>
      </c>
      <c r="AE46" s="145">
        <f>AE47</f>
        <v>3184</v>
      </c>
    </row>
    <row r="47" spans="1:31" s="12" customFormat="1" ht="18" customHeight="1">
      <c r="A47" s="144"/>
      <c r="B47" s="133">
        <v>36</v>
      </c>
      <c r="C47" s="134" t="s">
        <v>131</v>
      </c>
      <c r="D47" s="135" t="s">
        <v>99</v>
      </c>
      <c r="E47" s="135">
        <v>5</v>
      </c>
      <c r="F47" s="135"/>
      <c r="G47" s="136">
        <f>VLOOKUP($C47,Quali!$B:$N,6,0)</f>
        <v>220</v>
      </c>
      <c r="H47" s="136">
        <f>VLOOKUP($C47,Quali!$B:$N,7,0)</f>
        <v>237</v>
      </c>
      <c r="I47" s="136">
        <f>VLOOKUP($C47,Quali!$B:$N,8,0)</f>
        <v>191</v>
      </c>
      <c r="J47" s="136">
        <f>VLOOKUP($C47,Quali!$B:$N,9,0)</f>
        <v>193</v>
      </c>
      <c r="K47" s="136">
        <f>VLOOKUP($C47,Quali!$B:$N,10,0)</f>
        <v>185</v>
      </c>
      <c r="L47" s="136">
        <f>VLOOKUP($C47,Quali!$B:$N,11,0)</f>
        <v>141</v>
      </c>
      <c r="M47" s="136">
        <f>VLOOKUP($C47,Quali!$B:$N,12,0)</f>
        <v>174</v>
      </c>
      <c r="N47" s="142">
        <f>VLOOKUP($C47,Quali!$B:$N,13,0)</f>
        <v>200</v>
      </c>
      <c r="O47" s="140"/>
      <c r="P47" s="136"/>
      <c r="Q47" s="136"/>
      <c r="R47" s="136"/>
      <c r="S47" s="136"/>
      <c r="T47" s="136"/>
      <c r="U47" s="136"/>
      <c r="V47" s="136"/>
      <c r="W47" s="136"/>
      <c r="X47" s="136"/>
      <c r="Y47" s="136"/>
      <c r="Z47" s="135">
        <f t="shared" si="1"/>
        <v>1541</v>
      </c>
      <c r="AA47" s="135">
        <f t="shared" si="2"/>
        <v>8</v>
      </c>
      <c r="AB47" s="137">
        <f t="shared" si="3"/>
        <v>192.625</v>
      </c>
      <c r="AC47" s="135">
        <f t="shared" si="4"/>
        <v>40</v>
      </c>
      <c r="AD47" s="135">
        <f t="shared" si="5"/>
        <v>1581</v>
      </c>
      <c r="AE47" s="147">
        <f>SUM(AD46:AD47)</f>
        <v>3184</v>
      </c>
    </row>
    <row r="48" spans="1:31" s="12" customFormat="1" ht="18" customHeight="1">
      <c r="A48" s="144">
        <v>23</v>
      </c>
      <c r="B48" s="133">
        <v>37</v>
      </c>
      <c r="C48" s="134" t="s">
        <v>160</v>
      </c>
      <c r="D48" s="135" t="s">
        <v>161</v>
      </c>
      <c r="E48" s="135">
        <v>12</v>
      </c>
      <c r="F48" s="135"/>
      <c r="G48" s="136">
        <f>VLOOKUP($C48,Quali!$B:$N,6,0)</f>
        <v>193</v>
      </c>
      <c r="H48" s="136">
        <f>VLOOKUP($C48,Quali!$B:$N,7,0)</f>
        <v>180</v>
      </c>
      <c r="I48" s="136">
        <f>VLOOKUP($C48,Quali!$B:$N,8,0)</f>
        <v>157</v>
      </c>
      <c r="J48" s="136">
        <f>VLOOKUP($C48,Quali!$B:$N,9,0)</f>
        <v>212</v>
      </c>
      <c r="K48" s="136">
        <f>VLOOKUP($C48,Quali!$B:$N,10,0)</f>
        <v>169</v>
      </c>
      <c r="L48" s="136">
        <f>VLOOKUP($C48,Quali!$B:$N,11,0)</f>
        <v>160</v>
      </c>
      <c r="M48" s="136">
        <f>VLOOKUP($C48,Quali!$B:$N,12,0)</f>
        <v>212</v>
      </c>
      <c r="N48" s="142">
        <f>VLOOKUP($C48,Quali!$B:$N,13,0)</f>
        <v>172</v>
      </c>
      <c r="O48" s="140"/>
      <c r="P48" s="136"/>
      <c r="Q48" s="136"/>
      <c r="R48" s="136"/>
      <c r="S48" s="136"/>
      <c r="T48" s="136"/>
      <c r="U48" s="136"/>
      <c r="V48" s="136"/>
      <c r="W48" s="136"/>
      <c r="X48" s="136"/>
      <c r="Y48" s="136"/>
      <c r="Z48" s="136">
        <f t="shared" si="1"/>
        <v>1455</v>
      </c>
      <c r="AA48" s="136">
        <f t="shared" si="2"/>
        <v>8</v>
      </c>
      <c r="AB48" s="137">
        <f t="shared" si="3"/>
        <v>181.875</v>
      </c>
      <c r="AC48" s="135">
        <f t="shared" si="4"/>
        <v>96</v>
      </c>
      <c r="AD48" s="135">
        <f t="shared" si="5"/>
        <v>1551</v>
      </c>
      <c r="AE48" s="145">
        <f>AE49</f>
        <v>3177</v>
      </c>
    </row>
    <row r="49" spans="1:31" s="12" customFormat="1" ht="18" customHeight="1">
      <c r="A49" s="144"/>
      <c r="B49" s="133">
        <v>38</v>
      </c>
      <c r="C49" s="134" t="s">
        <v>162</v>
      </c>
      <c r="D49" s="135" t="s">
        <v>161</v>
      </c>
      <c r="E49" s="135">
        <v>7</v>
      </c>
      <c r="F49" s="135"/>
      <c r="G49" s="136">
        <f>VLOOKUP($C49,Quali!$B:$N,6,0)</f>
        <v>204</v>
      </c>
      <c r="H49" s="136">
        <f>VLOOKUP($C49,Quali!$B:$N,7,0)</f>
        <v>173</v>
      </c>
      <c r="I49" s="136">
        <f>VLOOKUP($C49,Quali!$B:$N,8,0)</f>
        <v>190</v>
      </c>
      <c r="J49" s="136">
        <f>VLOOKUP($C49,Quali!$B:$N,9,0)</f>
        <v>231</v>
      </c>
      <c r="K49" s="136">
        <f>VLOOKUP($C49,Quali!$B:$N,10,0)</f>
        <v>184</v>
      </c>
      <c r="L49" s="136">
        <f>VLOOKUP($C49,Quali!$B:$N,11,0)</f>
        <v>182</v>
      </c>
      <c r="M49" s="136">
        <f>VLOOKUP($C49,Quali!$B:$N,12,0)</f>
        <v>203</v>
      </c>
      <c r="N49" s="142">
        <f>VLOOKUP($C49,Quali!$B:$N,13,0)</f>
        <v>203</v>
      </c>
      <c r="O49" s="140"/>
      <c r="P49" s="136"/>
      <c r="Q49" s="136"/>
      <c r="R49" s="136"/>
      <c r="S49" s="136"/>
      <c r="T49" s="136"/>
      <c r="U49" s="136"/>
      <c r="V49" s="136"/>
      <c r="W49" s="136"/>
      <c r="X49" s="136"/>
      <c r="Y49" s="136"/>
      <c r="Z49" s="135">
        <f t="shared" si="1"/>
        <v>1570</v>
      </c>
      <c r="AA49" s="135">
        <f t="shared" si="2"/>
        <v>8</v>
      </c>
      <c r="AB49" s="137">
        <f t="shared" si="3"/>
        <v>196.25</v>
      </c>
      <c r="AC49" s="135">
        <f t="shared" si="4"/>
        <v>56</v>
      </c>
      <c r="AD49" s="135">
        <f t="shared" si="5"/>
        <v>1626</v>
      </c>
      <c r="AE49" s="147">
        <f>SUM(AD48:AD49)</f>
        <v>3177</v>
      </c>
    </row>
    <row r="50" spans="1:31" s="12" customFormat="1" ht="18" customHeight="1">
      <c r="A50" s="144">
        <v>24</v>
      </c>
      <c r="B50" s="133">
        <v>39</v>
      </c>
      <c r="C50" s="134" t="s">
        <v>88</v>
      </c>
      <c r="D50" s="135" t="s">
        <v>89</v>
      </c>
      <c r="E50" s="135">
        <v>16</v>
      </c>
      <c r="F50" s="135"/>
      <c r="G50" s="136">
        <f>VLOOKUP($C50,Quali!$B:$N,6,0)</f>
        <v>194</v>
      </c>
      <c r="H50" s="136">
        <f>VLOOKUP($C50,Quali!$B:$N,7,0)</f>
        <v>169</v>
      </c>
      <c r="I50" s="136">
        <f>VLOOKUP($C50,Quali!$B:$N,8,0)</f>
        <v>196</v>
      </c>
      <c r="J50" s="136">
        <f>VLOOKUP($C50,Quali!$B:$N,9,0)</f>
        <v>203</v>
      </c>
      <c r="K50" s="136">
        <f>VLOOKUP($C50,Quali!$B:$N,10,0)</f>
        <v>179</v>
      </c>
      <c r="L50" s="136">
        <f>VLOOKUP($C50,Quali!$B:$N,11,0)</f>
        <v>201</v>
      </c>
      <c r="M50" s="136">
        <f>VLOOKUP($C50,Quali!$B:$N,12,0)</f>
        <v>193</v>
      </c>
      <c r="N50" s="142">
        <f>VLOOKUP($C50,Quali!$B:$N,13,0)</f>
        <v>190</v>
      </c>
      <c r="O50" s="140"/>
      <c r="P50" s="136"/>
      <c r="Q50" s="136"/>
      <c r="R50" s="136"/>
      <c r="S50" s="136"/>
      <c r="T50" s="136"/>
      <c r="U50" s="136"/>
      <c r="V50" s="136"/>
      <c r="W50" s="136"/>
      <c r="X50" s="136"/>
      <c r="Y50" s="136"/>
      <c r="Z50" s="136">
        <f t="shared" si="1"/>
        <v>1525</v>
      </c>
      <c r="AA50" s="136">
        <f t="shared" si="2"/>
        <v>8</v>
      </c>
      <c r="AB50" s="137">
        <f t="shared" si="3"/>
        <v>190.625</v>
      </c>
      <c r="AC50" s="135">
        <f t="shared" si="4"/>
        <v>128</v>
      </c>
      <c r="AD50" s="135">
        <f t="shared" si="5"/>
        <v>1653</v>
      </c>
      <c r="AE50" s="145">
        <f>AE51</f>
        <v>3152</v>
      </c>
    </row>
    <row r="51" spans="1:31" s="12" customFormat="1" ht="18" customHeight="1">
      <c r="A51" s="144"/>
      <c r="B51" s="133">
        <v>40</v>
      </c>
      <c r="C51" s="134" t="s">
        <v>90</v>
      </c>
      <c r="D51" s="135" t="s">
        <v>89</v>
      </c>
      <c r="E51" s="135">
        <v>11</v>
      </c>
      <c r="F51" s="135"/>
      <c r="G51" s="136">
        <f>VLOOKUP($C51,Quali!$B:$N,6,0)</f>
        <v>124</v>
      </c>
      <c r="H51" s="136">
        <f>VLOOKUP($C51,Quali!$B:$N,7,0)</f>
        <v>173</v>
      </c>
      <c r="I51" s="136">
        <f>VLOOKUP($C51,Quali!$B:$N,8,0)</f>
        <v>176</v>
      </c>
      <c r="J51" s="136">
        <f>VLOOKUP($C51,Quali!$B:$N,9,0)</f>
        <v>216</v>
      </c>
      <c r="K51" s="136">
        <f>VLOOKUP($C51,Quali!$B:$N,10,0)</f>
        <v>163</v>
      </c>
      <c r="L51" s="136">
        <f>VLOOKUP($C51,Quali!$B:$N,11,0)</f>
        <v>156</v>
      </c>
      <c r="M51" s="136">
        <f>VLOOKUP($C51,Quali!$B:$N,12,0)</f>
        <v>224</v>
      </c>
      <c r="N51" s="142">
        <f>VLOOKUP($C51,Quali!$B:$N,13,0)</f>
        <v>179</v>
      </c>
      <c r="O51" s="140"/>
      <c r="P51" s="136"/>
      <c r="Q51" s="136"/>
      <c r="R51" s="136"/>
      <c r="S51" s="136"/>
      <c r="T51" s="136"/>
      <c r="U51" s="136"/>
      <c r="V51" s="136"/>
      <c r="W51" s="136"/>
      <c r="X51" s="136"/>
      <c r="Y51" s="136"/>
      <c r="Z51" s="135">
        <f t="shared" si="1"/>
        <v>1411</v>
      </c>
      <c r="AA51" s="135">
        <f t="shared" si="2"/>
        <v>8</v>
      </c>
      <c r="AB51" s="137">
        <f t="shared" si="3"/>
        <v>176.375</v>
      </c>
      <c r="AC51" s="135">
        <f t="shared" si="4"/>
        <v>88</v>
      </c>
      <c r="AD51" s="135">
        <f t="shared" si="5"/>
        <v>1499</v>
      </c>
      <c r="AE51" s="147">
        <f>SUM(AD50:AD51)</f>
        <v>3152</v>
      </c>
    </row>
    <row r="52" spans="1:31" s="12" customFormat="1" ht="18" customHeight="1">
      <c r="A52" s="144">
        <v>25</v>
      </c>
      <c r="B52" s="133">
        <v>115</v>
      </c>
      <c r="C52" s="134" t="s">
        <v>121</v>
      </c>
      <c r="D52" s="135" t="s">
        <v>99</v>
      </c>
      <c r="E52" s="135">
        <v>0</v>
      </c>
      <c r="F52" s="135"/>
      <c r="G52" s="136">
        <f>VLOOKUP($C52,Quali!$B:$N,6,0)</f>
        <v>218</v>
      </c>
      <c r="H52" s="136">
        <f>VLOOKUP($C52,Quali!$B:$N,7,0)</f>
        <v>223</v>
      </c>
      <c r="I52" s="136">
        <f>VLOOKUP($C52,Quali!$B:$N,8,0)</f>
        <v>224</v>
      </c>
      <c r="J52" s="136">
        <f>VLOOKUP($C52,Quali!$B:$N,9,0)</f>
        <v>154</v>
      </c>
      <c r="K52" s="136">
        <f>VLOOKUP($C52,Quali!$B:$N,10,0)</f>
        <v>191</v>
      </c>
      <c r="L52" s="136">
        <f>VLOOKUP($C52,Quali!$B:$N,11,0)</f>
        <v>211</v>
      </c>
      <c r="M52" s="136">
        <f>VLOOKUP($C52,Quali!$B:$N,12,0)</f>
        <v>207</v>
      </c>
      <c r="N52" s="142">
        <f>VLOOKUP($C52,Quali!$B:$N,13,0)</f>
        <v>183</v>
      </c>
      <c r="O52" s="140"/>
      <c r="P52" s="136"/>
      <c r="Q52" s="136"/>
      <c r="R52" s="136"/>
      <c r="S52" s="136"/>
      <c r="T52" s="136"/>
      <c r="U52" s="136"/>
      <c r="V52" s="136"/>
      <c r="W52" s="136"/>
      <c r="X52" s="136"/>
      <c r="Y52" s="136"/>
      <c r="Z52" s="136">
        <f t="shared" si="1"/>
        <v>1611</v>
      </c>
      <c r="AA52" s="136">
        <f t="shared" si="2"/>
        <v>8</v>
      </c>
      <c r="AB52" s="137">
        <f t="shared" si="3"/>
        <v>201.375</v>
      </c>
      <c r="AC52" s="135">
        <f t="shared" si="4"/>
        <v>0</v>
      </c>
      <c r="AD52" s="135">
        <f t="shared" si="5"/>
        <v>1611</v>
      </c>
      <c r="AE52" s="145">
        <f>AE53</f>
        <v>3138</v>
      </c>
    </row>
    <row r="53" spans="1:31" s="12" customFormat="1" ht="18" customHeight="1">
      <c r="A53" s="144"/>
      <c r="B53" s="133">
        <v>116</v>
      </c>
      <c r="C53" s="134" t="s">
        <v>168</v>
      </c>
      <c r="D53" s="135" t="s">
        <v>99</v>
      </c>
      <c r="E53" s="135">
        <v>7</v>
      </c>
      <c r="F53" s="135" t="s">
        <v>166</v>
      </c>
      <c r="G53" s="136">
        <f>VLOOKUP($C53,Quali!$B:$N,6,0)</f>
        <v>226</v>
      </c>
      <c r="H53" s="136">
        <f>VLOOKUP($C53,Quali!$B:$N,7,0)</f>
        <v>184</v>
      </c>
      <c r="I53" s="136">
        <f>VLOOKUP($C53,Quali!$B:$N,8,0)</f>
        <v>197</v>
      </c>
      <c r="J53" s="136">
        <f>VLOOKUP($C53,Quali!$B:$N,9,0)</f>
        <v>167</v>
      </c>
      <c r="K53" s="136">
        <f>VLOOKUP($C53,Quali!$B:$N,10,0)</f>
        <v>136</v>
      </c>
      <c r="L53" s="136">
        <f>VLOOKUP($C53,Quali!$B:$N,11,0)</f>
        <v>155</v>
      </c>
      <c r="M53" s="136">
        <f>VLOOKUP($C53,Quali!$B:$N,12,0)</f>
        <v>162</v>
      </c>
      <c r="N53" s="142">
        <f>VLOOKUP($C53,Quali!$B:$N,13,0)</f>
        <v>244</v>
      </c>
      <c r="O53" s="140"/>
      <c r="P53" s="136"/>
      <c r="Q53" s="136"/>
      <c r="R53" s="136"/>
      <c r="S53" s="136"/>
      <c r="T53" s="136"/>
      <c r="U53" s="136"/>
      <c r="V53" s="136"/>
      <c r="W53" s="136"/>
      <c r="X53" s="136"/>
      <c r="Y53" s="136"/>
      <c r="Z53" s="135">
        <f t="shared" si="1"/>
        <v>1471</v>
      </c>
      <c r="AA53" s="135">
        <f t="shared" si="2"/>
        <v>8</v>
      </c>
      <c r="AB53" s="137">
        <f t="shared" si="3"/>
        <v>183.875</v>
      </c>
      <c r="AC53" s="135">
        <f t="shared" si="4"/>
        <v>56</v>
      </c>
      <c r="AD53" s="135">
        <f t="shared" si="5"/>
        <v>1527</v>
      </c>
      <c r="AE53" s="147">
        <f>SUM(AD52:AD53)</f>
        <v>3138</v>
      </c>
    </row>
    <row r="54" spans="1:31" s="12" customFormat="1" ht="18" customHeight="1">
      <c r="A54" s="144">
        <v>26</v>
      </c>
      <c r="B54" s="133">
        <v>41</v>
      </c>
      <c r="C54" s="134" t="s">
        <v>93</v>
      </c>
      <c r="D54" s="135" t="s">
        <v>94</v>
      </c>
      <c r="E54" s="135">
        <v>18</v>
      </c>
      <c r="F54" s="135"/>
      <c r="G54" s="136">
        <f>VLOOKUP($C54,Quali!$B:$N,6,0)</f>
        <v>162</v>
      </c>
      <c r="H54" s="136">
        <f>VLOOKUP($C54,Quali!$B:$N,7,0)</f>
        <v>166</v>
      </c>
      <c r="I54" s="136">
        <f>VLOOKUP($C54,Quali!$B:$N,8,0)</f>
        <v>206</v>
      </c>
      <c r="J54" s="136">
        <f>VLOOKUP($C54,Quali!$B:$N,9,0)</f>
        <v>198</v>
      </c>
      <c r="K54" s="136">
        <f>VLOOKUP($C54,Quali!$B:$N,10,0)</f>
        <v>201</v>
      </c>
      <c r="L54" s="136">
        <f>VLOOKUP($C54,Quali!$B:$N,11,0)</f>
        <v>177</v>
      </c>
      <c r="M54" s="136">
        <f>VLOOKUP($C54,Quali!$B:$N,12,0)</f>
        <v>182</v>
      </c>
      <c r="N54" s="142">
        <f>VLOOKUP($C54,Quali!$B:$N,13,0)</f>
        <v>196</v>
      </c>
      <c r="O54" s="140"/>
      <c r="P54" s="136"/>
      <c r="Q54" s="136"/>
      <c r="R54" s="136"/>
      <c r="S54" s="136"/>
      <c r="T54" s="136"/>
      <c r="U54" s="136"/>
      <c r="V54" s="136"/>
      <c r="W54" s="136"/>
      <c r="X54" s="136"/>
      <c r="Y54" s="136"/>
      <c r="Z54" s="136">
        <f t="shared" si="1"/>
        <v>1488</v>
      </c>
      <c r="AA54" s="136">
        <f t="shared" si="2"/>
        <v>8</v>
      </c>
      <c r="AB54" s="137">
        <f t="shared" si="3"/>
        <v>186</v>
      </c>
      <c r="AC54" s="135">
        <f t="shared" si="4"/>
        <v>144</v>
      </c>
      <c r="AD54" s="135">
        <f t="shared" si="5"/>
        <v>1632</v>
      </c>
      <c r="AE54" s="145">
        <f>AE55</f>
        <v>3136</v>
      </c>
    </row>
    <row r="55" spans="1:31" s="12" customFormat="1" ht="18" customHeight="1">
      <c r="A55" s="144"/>
      <c r="B55" s="133">
        <v>42</v>
      </c>
      <c r="C55" s="134" t="s">
        <v>95</v>
      </c>
      <c r="D55" s="135" t="s">
        <v>94</v>
      </c>
      <c r="E55" s="135">
        <v>17</v>
      </c>
      <c r="F55" s="135"/>
      <c r="G55" s="136">
        <f>VLOOKUP($C55,Quali!$B:$N,6,0)</f>
        <v>167</v>
      </c>
      <c r="H55" s="136">
        <f>VLOOKUP($C55,Quali!$B:$N,7,0)</f>
        <v>209</v>
      </c>
      <c r="I55" s="136">
        <f>VLOOKUP($C55,Quali!$B:$N,8,0)</f>
        <v>189</v>
      </c>
      <c r="J55" s="136">
        <f>VLOOKUP($C55,Quali!$B:$N,9,0)</f>
        <v>128</v>
      </c>
      <c r="K55" s="136">
        <f>VLOOKUP($C55,Quali!$B:$N,10,0)</f>
        <v>144</v>
      </c>
      <c r="L55" s="136">
        <f>VLOOKUP($C55,Quali!$B:$N,11,0)</f>
        <v>163</v>
      </c>
      <c r="M55" s="136">
        <f>VLOOKUP($C55,Quali!$B:$N,12,0)</f>
        <v>187</v>
      </c>
      <c r="N55" s="142">
        <f>VLOOKUP($C55,Quali!$B:$N,13,0)</f>
        <v>181</v>
      </c>
      <c r="O55" s="140"/>
      <c r="P55" s="136"/>
      <c r="Q55" s="136"/>
      <c r="R55" s="136"/>
      <c r="S55" s="136"/>
      <c r="T55" s="136"/>
      <c r="U55" s="136"/>
      <c r="V55" s="136"/>
      <c r="W55" s="136"/>
      <c r="X55" s="136"/>
      <c r="Y55" s="136"/>
      <c r="Z55" s="135">
        <f t="shared" si="1"/>
        <v>1368</v>
      </c>
      <c r="AA55" s="135">
        <f t="shared" si="2"/>
        <v>8</v>
      </c>
      <c r="AB55" s="137">
        <f t="shared" si="3"/>
        <v>171</v>
      </c>
      <c r="AC55" s="135">
        <f t="shared" si="4"/>
        <v>136</v>
      </c>
      <c r="AD55" s="135">
        <f t="shared" si="5"/>
        <v>1504</v>
      </c>
      <c r="AE55" s="147">
        <f>SUM(AD54:AD55)</f>
        <v>3136</v>
      </c>
    </row>
    <row r="56" spans="1:31" s="12" customFormat="1" ht="18" customHeight="1">
      <c r="A56" s="144">
        <v>27</v>
      </c>
      <c r="B56" s="133">
        <v>43</v>
      </c>
      <c r="C56" s="134" t="s">
        <v>98</v>
      </c>
      <c r="D56" s="135" t="s">
        <v>94</v>
      </c>
      <c r="E56" s="135">
        <v>11</v>
      </c>
      <c r="F56" s="135"/>
      <c r="G56" s="136">
        <f>VLOOKUP($C56,Quali!$B:$N,6,0)</f>
        <v>181</v>
      </c>
      <c r="H56" s="136">
        <f>VLOOKUP($C56,Quali!$B:$N,7,0)</f>
        <v>187</v>
      </c>
      <c r="I56" s="136">
        <f>VLOOKUP($C56,Quali!$B:$N,8,0)</f>
        <v>208</v>
      </c>
      <c r="J56" s="136">
        <f>VLOOKUP($C56,Quali!$B:$N,9,0)</f>
        <v>224</v>
      </c>
      <c r="K56" s="136">
        <f>VLOOKUP($C56,Quali!$B:$N,10,0)</f>
        <v>219</v>
      </c>
      <c r="L56" s="136">
        <f>VLOOKUP($C56,Quali!$B:$N,11,0)</f>
        <v>169</v>
      </c>
      <c r="M56" s="136">
        <f>VLOOKUP($C56,Quali!$B:$N,12,0)</f>
        <v>167</v>
      </c>
      <c r="N56" s="142">
        <f>VLOOKUP($C56,Quali!$B:$N,13,0)</f>
        <v>148</v>
      </c>
      <c r="O56" s="140"/>
      <c r="P56" s="136"/>
      <c r="Q56" s="136"/>
      <c r="R56" s="136"/>
      <c r="S56" s="136"/>
      <c r="T56" s="136"/>
      <c r="U56" s="136"/>
      <c r="V56" s="136"/>
      <c r="W56" s="136"/>
      <c r="X56" s="136"/>
      <c r="Y56" s="136"/>
      <c r="Z56" s="136">
        <f t="shared" si="1"/>
        <v>1503</v>
      </c>
      <c r="AA56" s="136">
        <f t="shared" si="2"/>
        <v>8</v>
      </c>
      <c r="AB56" s="137">
        <f t="shared" si="3"/>
        <v>187.875</v>
      </c>
      <c r="AC56" s="135">
        <f t="shared" si="4"/>
        <v>88</v>
      </c>
      <c r="AD56" s="135">
        <f t="shared" si="5"/>
        <v>1591</v>
      </c>
      <c r="AE56" s="145">
        <f>AE57</f>
        <v>3135</v>
      </c>
    </row>
    <row r="57" spans="1:31" s="12" customFormat="1" ht="18" customHeight="1">
      <c r="A57" s="144"/>
      <c r="B57" s="133">
        <v>44</v>
      </c>
      <c r="C57" s="138" t="s">
        <v>21</v>
      </c>
      <c r="D57" s="135" t="s">
        <v>99</v>
      </c>
      <c r="E57" s="135">
        <v>7</v>
      </c>
      <c r="F57" s="135"/>
      <c r="G57" s="136">
        <f>VLOOKUP($C57,Quali!$B:$N,6,0)</f>
        <v>207</v>
      </c>
      <c r="H57" s="136">
        <f>VLOOKUP($C57,Quali!$B:$N,7,0)</f>
        <v>181</v>
      </c>
      <c r="I57" s="136">
        <f>VLOOKUP($C57,Quali!$B:$N,8,0)</f>
        <v>161</v>
      </c>
      <c r="J57" s="136">
        <f>VLOOKUP($C57,Quali!$B:$N,9,0)</f>
        <v>215</v>
      </c>
      <c r="K57" s="136">
        <f>VLOOKUP($C57,Quali!$B:$N,10,0)</f>
        <v>181</v>
      </c>
      <c r="L57" s="136">
        <f>VLOOKUP($C57,Quali!$B:$N,11,0)</f>
        <v>199</v>
      </c>
      <c r="M57" s="136">
        <f>VLOOKUP($C57,Quali!$B:$N,12,0)</f>
        <v>179</v>
      </c>
      <c r="N57" s="142">
        <f>VLOOKUP($C57,Quali!$B:$N,13,0)</f>
        <v>165</v>
      </c>
      <c r="O57" s="140"/>
      <c r="P57" s="136"/>
      <c r="Q57" s="136"/>
      <c r="R57" s="136"/>
      <c r="S57" s="136"/>
      <c r="T57" s="136"/>
      <c r="U57" s="136"/>
      <c r="V57" s="136"/>
      <c r="W57" s="136"/>
      <c r="X57" s="136"/>
      <c r="Y57" s="136"/>
      <c r="Z57" s="135">
        <f t="shared" si="1"/>
        <v>1488</v>
      </c>
      <c r="AA57" s="135">
        <f t="shared" si="2"/>
        <v>8</v>
      </c>
      <c r="AB57" s="137">
        <f t="shared" si="3"/>
        <v>186</v>
      </c>
      <c r="AC57" s="135">
        <f t="shared" si="4"/>
        <v>56</v>
      </c>
      <c r="AD57" s="135">
        <f t="shared" si="5"/>
        <v>1544</v>
      </c>
      <c r="AE57" s="147">
        <f>SUM(AD56:AD57)</f>
        <v>3135</v>
      </c>
    </row>
    <row r="58" spans="1:31" s="12" customFormat="1" ht="18" customHeight="1">
      <c r="A58" s="144">
        <v>28</v>
      </c>
      <c r="B58" s="133">
        <v>45</v>
      </c>
      <c r="C58" s="134" t="s">
        <v>149</v>
      </c>
      <c r="D58" s="135" t="s">
        <v>99</v>
      </c>
      <c r="E58" s="135">
        <v>14</v>
      </c>
      <c r="F58" s="135"/>
      <c r="G58" s="136">
        <f>VLOOKUP($C58,Quali!$B:$N,6,0)</f>
        <v>172</v>
      </c>
      <c r="H58" s="136">
        <f>VLOOKUP($C58,Quali!$B:$N,7,0)</f>
        <v>199</v>
      </c>
      <c r="I58" s="136">
        <f>VLOOKUP($C58,Quali!$B:$N,8,0)</f>
        <v>161</v>
      </c>
      <c r="J58" s="136">
        <f>VLOOKUP($C58,Quali!$B:$N,9,0)</f>
        <v>157</v>
      </c>
      <c r="K58" s="136">
        <f>VLOOKUP($C58,Quali!$B:$N,10,0)</f>
        <v>225</v>
      </c>
      <c r="L58" s="136">
        <f>VLOOKUP($C58,Quali!$B:$N,11,0)</f>
        <v>210</v>
      </c>
      <c r="M58" s="136">
        <f>VLOOKUP($C58,Quali!$B:$N,12,0)</f>
        <v>151</v>
      </c>
      <c r="N58" s="142">
        <f>VLOOKUP($C58,Quali!$B:$N,13,0)</f>
        <v>213</v>
      </c>
      <c r="O58" s="140"/>
      <c r="P58" s="136"/>
      <c r="Q58" s="136"/>
      <c r="R58" s="136"/>
      <c r="S58" s="136"/>
      <c r="T58" s="136"/>
      <c r="U58" s="136"/>
      <c r="V58" s="136"/>
      <c r="W58" s="136"/>
      <c r="X58" s="136"/>
      <c r="Y58" s="136"/>
      <c r="Z58" s="136">
        <f t="shared" si="1"/>
        <v>1488</v>
      </c>
      <c r="AA58" s="136">
        <f t="shared" si="2"/>
        <v>8</v>
      </c>
      <c r="AB58" s="137">
        <f t="shared" si="3"/>
        <v>186</v>
      </c>
      <c r="AC58" s="135">
        <f t="shared" si="4"/>
        <v>112</v>
      </c>
      <c r="AD58" s="135">
        <f t="shared" si="5"/>
        <v>1600</v>
      </c>
      <c r="AE58" s="145">
        <f>AE59</f>
        <v>3127</v>
      </c>
    </row>
    <row r="59" spans="1:31" s="12" customFormat="1" ht="18" customHeight="1">
      <c r="A59" s="144"/>
      <c r="B59" s="133">
        <v>46</v>
      </c>
      <c r="C59" s="134" t="s">
        <v>186</v>
      </c>
      <c r="D59" s="135" t="s">
        <v>99</v>
      </c>
      <c r="E59" s="135">
        <v>14</v>
      </c>
      <c r="F59" s="135"/>
      <c r="G59" s="136">
        <f>VLOOKUP($C59,Quali!$B:$N,6,0)</f>
        <v>136</v>
      </c>
      <c r="H59" s="136">
        <f>VLOOKUP($C59,Quali!$B:$N,7,0)</f>
        <v>202</v>
      </c>
      <c r="I59" s="136">
        <f>VLOOKUP($C59,Quali!$B:$N,8,0)</f>
        <v>192</v>
      </c>
      <c r="J59" s="136">
        <f>VLOOKUP($C59,Quali!$B:$N,9,0)</f>
        <v>146</v>
      </c>
      <c r="K59" s="136">
        <f>VLOOKUP($C59,Quali!$B:$N,10,0)</f>
        <v>214</v>
      </c>
      <c r="L59" s="136">
        <f>VLOOKUP($C59,Quali!$B:$N,11,0)</f>
        <v>189</v>
      </c>
      <c r="M59" s="136">
        <f>VLOOKUP($C59,Quali!$B:$N,12,0)</f>
        <v>174</v>
      </c>
      <c r="N59" s="142">
        <f>VLOOKUP($C59,Quali!$B:$N,13,0)</f>
        <v>162</v>
      </c>
      <c r="O59" s="140"/>
      <c r="P59" s="136"/>
      <c r="Q59" s="136"/>
      <c r="R59" s="136"/>
      <c r="S59" s="136"/>
      <c r="T59" s="136"/>
      <c r="U59" s="136"/>
      <c r="V59" s="136"/>
      <c r="W59" s="136"/>
      <c r="X59" s="136"/>
      <c r="Y59" s="136"/>
      <c r="Z59" s="135">
        <f t="shared" si="1"/>
        <v>1415</v>
      </c>
      <c r="AA59" s="135">
        <f t="shared" si="2"/>
        <v>8</v>
      </c>
      <c r="AB59" s="137">
        <f t="shared" si="3"/>
        <v>176.875</v>
      </c>
      <c r="AC59" s="135">
        <f t="shared" si="4"/>
        <v>112</v>
      </c>
      <c r="AD59" s="135">
        <f t="shared" si="5"/>
        <v>1527</v>
      </c>
      <c r="AE59" s="147">
        <f>SUM(AD58:AD59)</f>
        <v>3127</v>
      </c>
    </row>
    <row r="60" spans="1:31" s="12" customFormat="1" ht="18" customHeight="1">
      <c r="A60" s="144">
        <v>29</v>
      </c>
      <c r="B60" s="133">
        <v>47</v>
      </c>
      <c r="C60" s="134" t="s">
        <v>126</v>
      </c>
      <c r="D60" s="135" t="s">
        <v>94</v>
      </c>
      <c r="E60" s="135">
        <v>13</v>
      </c>
      <c r="F60" s="135"/>
      <c r="G60" s="136">
        <f>VLOOKUP($C60,Quali!$B:$N,6,0)</f>
        <v>171</v>
      </c>
      <c r="H60" s="136">
        <f>VLOOKUP($C60,Quali!$B:$N,7,0)</f>
        <v>146</v>
      </c>
      <c r="I60" s="136">
        <f>VLOOKUP($C60,Quali!$B:$N,8,0)</f>
        <v>152</v>
      </c>
      <c r="J60" s="136">
        <f>VLOOKUP($C60,Quali!$B:$N,9,0)</f>
        <v>189</v>
      </c>
      <c r="K60" s="136">
        <f>VLOOKUP($C60,Quali!$B:$N,10,0)</f>
        <v>174</v>
      </c>
      <c r="L60" s="136">
        <f>VLOOKUP($C60,Quali!$B:$N,11,0)</f>
        <v>171</v>
      </c>
      <c r="M60" s="136">
        <f>VLOOKUP($C60,Quali!$B:$N,12,0)</f>
        <v>186</v>
      </c>
      <c r="N60" s="142">
        <f>VLOOKUP($C60,Quali!$B:$N,13,0)</f>
        <v>181</v>
      </c>
      <c r="O60" s="140"/>
      <c r="P60" s="136"/>
      <c r="Q60" s="136"/>
      <c r="R60" s="136"/>
      <c r="S60" s="136"/>
      <c r="T60" s="136"/>
      <c r="U60" s="136"/>
      <c r="V60" s="136"/>
      <c r="W60" s="136"/>
      <c r="X60" s="136"/>
      <c r="Y60" s="136"/>
      <c r="Z60" s="136">
        <f t="shared" si="1"/>
        <v>1370</v>
      </c>
      <c r="AA60" s="136">
        <f t="shared" si="2"/>
        <v>8</v>
      </c>
      <c r="AB60" s="137">
        <f t="shared" si="3"/>
        <v>171.25</v>
      </c>
      <c r="AC60" s="135">
        <f t="shared" si="4"/>
        <v>104</v>
      </c>
      <c r="AD60" s="135">
        <f t="shared" si="5"/>
        <v>1474</v>
      </c>
      <c r="AE60" s="145">
        <f>AE61</f>
        <v>3106</v>
      </c>
    </row>
    <row r="61" spans="1:31" s="12" customFormat="1" ht="18" customHeight="1">
      <c r="A61" s="144"/>
      <c r="B61" s="133">
        <v>48</v>
      </c>
      <c r="C61" s="134" t="s">
        <v>127</v>
      </c>
      <c r="D61" s="135" t="s">
        <v>94</v>
      </c>
      <c r="E61" s="135">
        <v>17</v>
      </c>
      <c r="F61" s="135"/>
      <c r="G61" s="136">
        <f>VLOOKUP($C61,Quali!$B:$N,6,0)</f>
        <v>178</v>
      </c>
      <c r="H61" s="136">
        <f>VLOOKUP($C61,Quali!$B:$N,7,0)</f>
        <v>225</v>
      </c>
      <c r="I61" s="136">
        <f>VLOOKUP($C61,Quali!$B:$N,8,0)</f>
        <v>196</v>
      </c>
      <c r="J61" s="136">
        <f>VLOOKUP($C61,Quali!$B:$N,9,0)</f>
        <v>200</v>
      </c>
      <c r="K61" s="136">
        <f>VLOOKUP($C61,Quali!$B:$N,10,0)</f>
        <v>178</v>
      </c>
      <c r="L61" s="136">
        <f>VLOOKUP($C61,Quali!$B:$N,11,0)</f>
        <v>170</v>
      </c>
      <c r="M61" s="136">
        <f>VLOOKUP($C61,Quali!$B:$N,12,0)</f>
        <v>166</v>
      </c>
      <c r="N61" s="142">
        <f>VLOOKUP($C61,Quali!$B:$N,13,0)</f>
        <v>183</v>
      </c>
      <c r="O61" s="140"/>
      <c r="P61" s="136"/>
      <c r="Q61" s="136"/>
      <c r="R61" s="136"/>
      <c r="S61" s="136"/>
      <c r="T61" s="136"/>
      <c r="U61" s="136"/>
      <c r="V61" s="136"/>
      <c r="W61" s="136"/>
      <c r="X61" s="136"/>
      <c r="Y61" s="136"/>
      <c r="Z61" s="135">
        <f t="shared" si="1"/>
        <v>1496</v>
      </c>
      <c r="AA61" s="135">
        <f t="shared" si="2"/>
        <v>8</v>
      </c>
      <c r="AB61" s="137">
        <f t="shared" si="3"/>
        <v>187</v>
      </c>
      <c r="AC61" s="135">
        <f t="shared" si="4"/>
        <v>136</v>
      </c>
      <c r="AD61" s="135">
        <f t="shared" si="5"/>
        <v>1632</v>
      </c>
      <c r="AE61" s="147">
        <f>SUM(AD60:AD61)</f>
        <v>3106</v>
      </c>
    </row>
    <row r="62" spans="1:31" s="12" customFormat="1" ht="18" customHeight="1">
      <c r="A62" s="144">
        <v>30</v>
      </c>
      <c r="B62" s="133">
        <v>49</v>
      </c>
      <c r="C62" s="134" t="s">
        <v>152</v>
      </c>
      <c r="D62" s="135" t="s">
        <v>125</v>
      </c>
      <c r="E62" s="135">
        <v>23</v>
      </c>
      <c r="F62" s="135"/>
      <c r="G62" s="136">
        <f>VLOOKUP($C62,Quali!$B:$N,6,0)</f>
        <v>173</v>
      </c>
      <c r="H62" s="136">
        <f>VLOOKUP($C62,Quali!$B:$N,7,0)</f>
        <v>175</v>
      </c>
      <c r="I62" s="136">
        <f>VLOOKUP($C62,Quali!$B:$N,8,0)</f>
        <v>138</v>
      </c>
      <c r="J62" s="136">
        <f>VLOOKUP($C62,Quali!$B:$N,9,0)</f>
        <v>214</v>
      </c>
      <c r="K62" s="136">
        <f>VLOOKUP($C62,Quali!$B:$N,10,0)</f>
        <v>146</v>
      </c>
      <c r="L62" s="136">
        <f>VLOOKUP($C62,Quali!$B:$N,11,0)</f>
        <v>149</v>
      </c>
      <c r="M62" s="136">
        <f>VLOOKUP($C62,Quali!$B:$N,12,0)</f>
        <v>176</v>
      </c>
      <c r="N62" s="142">
        <f>VLOOKUP($C62,Quali!$B:$N,13,0)</f>
        <v>132</v>
      </c>
      <c r="O62" s="140"/>
      <c r="P62" s="136"/>
      <c r="Q62" s="136"/>
      <c r="R62" s="136"/>
      <c r="S62" s="136"/>
      <c r="T62" s="136"/>
      <c r="U62" s="136"/>
      <c r="V62" s="136"/>
      <c r="W62" s="136"/>
      <c r="X62" s="136"/>
      <c r="Y62" s="136"/>
      <c r="Z62" s="136">
        <f t="shared" si="1"/>
        <v>1303</v>
      </c>
      <c r="AA62" s="136">
        <f t="shared" si="2"/>
        <v>8</v>
      </c>
      <c r="AB62" s="137">
        <f t="shared" si="3"/>
        <v>162.875</v>
      </c>
      <c r="AC62" s="135">
        <f t="shared" si="4"/>
        <v>184</v>
      </c>
      <c r="AD62" s="135">
        <f t="shared" si="5"/>
        <v>1487</v>
      </c>
      <c r="AE62" s="145">
        <f>AE63</f>
        <v>3103</v>
      </c>
    </row>
    <row r="63" spans="1:31" s="12" customFormat="1" ht="18" customHeight="1">
      <c r="A63" s="144"/>
      <c r="B63" s="133">
        <v>50</v>
      </c>
      <c r="C63" s="134" t="s">
        <v>153</v>
      </c>
      <c r="D63" s="135" t="s">
        <v>125</v>
      </c>
      <c r="E63" s="135">
        <v>21</v>
      </c>
      <c r="F63" s="135"/>
      <c r="G63" s="136">
        <f>VLOOKUP($C63,Quali!$B:$N,6,0)</f>
        <v>192</v>
      </c>
      <c r="H63" s="136">
        <f>VLOOKUP($C63,Quali!$B:$N,7,0)</f>
        <v>222</v>
      </c>
      <c r="I63" s="136">
        <f>VLOOKUP($C63,Quali!$B:$N,8,0)</f>
        <v>165</v>
      </c>
      <c r="J63" s="136">
        <f>VLOOKUP($C63,Quali!$B:$N,9,0)</f>
        <v>168</v>
      </c>
      <c r="K63" s="136">
        <f>VLOOKUP($C63,Quali!$B:$N,10,0)</f>
        <v>168</v>
      </c>
      <c r="L63" s="136">
        <f>VLOOKUP($C63,Quali!$B:$N,11,0)</f>
        <v>149</v>
      </c>
      <c r="M63" s="136">
        <f>VLOOKUP($C63,Quali!$B:$N,12,0)</f>
        <v>214</v>
      </c>
      <c r="N63" s="142">
        <f>VLOOKUP($C63,Quali!$B:$N,13,0)</f>
        <v>170</v>
      </c>
      <c r="O63" s="140"/>
      <c r="P63" s="136"/>
      <c r="Q63" s="136"/>
      <c r="R63" s="136"/>
      <c r="S63" s="136"/>
      <c r="T63" s="136"/>
      <c r="U63" s="136"/>
      <c r="V63" s="136"/>
      <c r="W63" s="136"/>
      <c r="X63" s="136"/>
      <c r="Y63" s="136"/>
      <c r="Z63" s="135">
        <f t="shared" si="1"/>
        <v>1448</v>
      </c>
      <c r="AA63" s="135">
        <f t="shared" si="2"/>
        <v>8</v>
      </c>
      <c r="AB63" s="137">
        <f t="shared" si="3"/>
        <v>181</v>
      </c>
      <c r="AC63" s="135">
        <f t="shared" si="4"/>
        <v>168</v>
      </c>
      <c r="AD63" s="135">
        <f t="shared" si="5"/>
        <v>1616</v>
      </c>
      <c r="AE63" s="147">
        <f>SUM(AD62:AD63)</f>
        <v>3103</v>
      </c>
    </row>
    <row r="64" spans="1:31" s="12" customFormat="1" ht="18" customHeight="1">
      <c r="A64" s="144">
        <v>31</v>
      </c>
      <c r="B64" s="133">
        <v>51</v>
      </c>
      <c r="C64" s="134" t="s">
        <v>110</v>
      </c>
      <c r="D64" s="135" t="s">
        <v>89</v>
      </c>
      <c r="E64" s="135">
        <v>7</v>
      </c>
      <c r="F64" s="135"/>
      <c r="G64" s="136">
        <f>VLOOKUP($C64,Quali!$B:$N,6,0)</f>
        <v>173</v>
      </c>
      <c r="H64" s="136">
        <f>VLOOKUP($C64,Quali!$B:$N,7,0)</f>
        <v>175</v>
      </c>
      <c r="I64" s="136">
        <f>VLOOKUP($C64,Quali!$B:$N,8,0)</f>
        <v>187</v>
      </c>
      <c r="J64" s="136">
        <f>VLOOKUP($C64,Quali!$B:$N,9,0)</f>
        <v>246</v>
      </c>
      <c r="K64" s="136">
        <f>VLOOKUP($C64,Quali!$B:$N,10,0)</f>
        <v>159</v>
      </c>
      <c r="L64" s="136">
        <f>VLOOKUP($C64,Quali!$B:$N,11,0)</f>
        <v>136</v>
      </c>
      <c r="M64" s="136">
        <f>VLOOKUP($C64,Quali!$B:$N,12,0)</f>
        <v>225</v>
      </c>
      <c r="N64" s="142">
        <f>VLOOKUP($C64,Quali!$B:$N,13,0)</f>
        <v>197</v>
      </c>
      <c r="O64" s="140"/>
      <c r="P64" s="136"/>
      <c r="Q64" s="136"/>
      <c r="R64" s="136"/>
      <c r="S64" s="136"/>
      <c r="T64" s="136"/>
      <c r="U64" s="136"/>
      <c r="V64" s="136"/>
      <c r="W64" s="136"/>
      <c r="X64" s="136"/>
      <c r="Y64" s="136"/>
      <c r="Z64" s="136">
        <f t="shared" si="1"/>
        <v>1498</v>
      </c>
      <c r="AA64" s="136">
        <f t="shared" si="2"/>
        <v>8</v>
      </c>
      <c r="AB64" s="137">
        <f t="shared" si="3"/>
        <v>187.25</v>
      </c>
      <c r="AC64" s="135">
        <f t="shared" si="4"/>
        <v>56</v>
      </c>
      <c r="AD64" s="135">
        <f t="shared" si="5"/>
        <v>1554</v>
      </c>
      <c r="AE64" s="145">
        <f>AE65</f>
        <v>3099</v>
      </c>
    </row>
    <row r="65" spans="1:31" s="12" customFormat="1" ht="18" customHeight="1">
      <c r="A65" s="144"/>
      <c r="B65" s="133">
        <v>52</v>
      </c>
      <c r="C65" s="134" t="s">
        <v>111</v>
      </c>
      <c r="D65" s="135" t="s">
        <v>89</v>
      </c>
      <c r="E65" s="135">
        <v>16</v>
      </c>
      <c r="F65" s="135"/>
      <c r="G65" s="136">
        <f>VLOOKUP($C65,Quali!$B:$N,6,0)</f>
        <v>151</v>
      </c>
      <c r="H65" s="136">
        <f>VLOOKUP($C65,Quali!$B:$N,7,0)</f>
        <v>169</v>
      </c>
      <c r="I65" s="136">
        <f>VLOOKUP($C65,Quali!$B:$N,8,0)</f>
        <v>197</v>
      </c>
      <c r="J65" s="136">
        <f>VLOOKUP($C65,Quali!$B:$N,9,0)</f>
        <v>190</v>
      </c>
      <c r="K65" s="136">
        <f>VLOOKUP($C65,Quali!$B:$N,10,0)</f>
        <v>191</v>
      </c>
      <c r="L65" s="136">
        <f>VLOOKUP($C65,Quali!$B:$N,11,0)</f>
        <v>202</v>
      </c>
      <c r="M65" s="136">
        <f>VLOOKUP($C65,Quali!$B:$N,12,0)</f>
        <v>146</v>
      </c>
      <c r="N65" s="142">
        <f>VLOOKUP($C65,Quali!$B:$N,13,0)</f>
        <v>171</v>
      </c>
      <c r="O65" s="140"/>
      <c r="P65" s="136"/>
      <c r="Q65" s="136"/>
      <c r="R65" s="136"/>
      <c r="S65" s="136"/>
      <c r="T65" s="136"/>
      <c r="U65" s="136"/>
      <c r="V65" s="136"/>
      <c r="W65" s="136"/>
      <c r="X65" s="136"/>
      <c r="Y65" s="136"/>
      <c r="Z65" s="135">
        <f t="shared" si="1"/>
        <v>1417</v>
      </c>
      <c r="AA65" s="135">
        <f t="shared" si="2"/>
        <v>8</v>
      </c>
      <c r="AB65" s="137">
        <f t="shared" si="3"/>
        <v>177.125</v>
      </c>
      <c r="AC65" s="135">
        <f t="shared" si="4"/>
        <v>128</v>
      </c>
      <c r="AD65" s="135">
        <f t="shared" si="5"/>
        <v>1545</v>
      </c>
      <c r="AE65" s="147">
        <f>SUM(AD64:AD65)</f>
        <v>3099</v>
      </c>
    </row>
    <row r="66" spans="1:31" s="12" customFormat="1" ht="18" customHeight="1">
      <c r="A66" s="144">
        <v>32</v>
      </c>
      <c r="B66" s="133">
        <v>53</v>
      </c>
      <c r="C66" s="134" t="s">
        <v>188</v>
      </c>
      <c r="D66" s="135" t="s">
        <v>125</v>
      </c>
      <c r="E66" s="135">
        <v>20</v>
      </c>
      <c r="F66" s="135"/>
      <c r="G66" s="136">
        <f>VLOOKUP($C66,Quali!$B:$N,6,0)</f>
        <v>182</v>
      </c>
      <c r="H66" s="136">
        <f>VLOOKUP($C66,Quali!$B:$N,7,0)</f>
        <v>148</v>
      </c>
      <c r="I66" s="136">
        <f>VLOOKUP($C66,Quali!$B:$N,8,0)</f>
        <v>186</v>
      </c>
      <c r="J66" s="136">
        <f>VLOOKUP($C66,Quali!$B:$N,9,0)</f>
        <v>200</v>
      </c>
      <c r="K66" s="136">
        <f>VLOOKUP($C66,Quali!$B:$N,10,0)</f>
        <v>172</v>
      </c>
      <c r="L66" s="136">
        <f>VLOOKUP($C66,Quali!$B:$N,11,0)</f>
        <v>160</v>
      </c>
      <c r="M66" s="136">
        <f>VLOOKUP($C66,Quali!$B:$N,12,0)</f>
        <v>180</v>
      </c>
      <c r="N66" s="142">
        <f>VLOOKUP($C66,Quali!$B:$N,13,0)</f>
        <v>181</v>
      </c>
      <c r="O66" s="140"/>
      <c r="P66" s="136"/>
      <c r="Q66" s="136"/>
      <c r="R66" s="136"/>
      <c r="S66" s="136"/>
      <c r="T66" s="136"/>
      <c r="U66" s="136"/>
      <c r="V66" s="136"/>
      <c r="W66" s="136"/>
      <c r="X66" s="136"/>
      <c r="Y66" s="136"/>
      <c r="Z66" s="136">
        <f t="shared" si="1"/>
        <v>1409</v>
      </c>
      <c r="AA66" s="136">
        <f t="shared" si="2"/>
        <v>8</v>
      </c>
      <c r="AB66" s="137">
        <f t="shared" si="3"/>
        <v>176.125</v>
      </c>
      <c r="AC66" s="135">
        <f t="shared" si="4"/>
        <v>160</v>
      </c>
      <c r="AD66" s="135">
        <f t="shared" si="5"/>
        <v>1569</v>
      </c>
      <c r="AE66" s="145">
        <f>AE67</f>
        <v>3096</v>
      </c>
    </row>
    <row r="67" spans="1:31" s="12" customFormat="1" ht="18" customHeight="1">
      <c r="A67" s="144"/>
      <c r="B67" s="133">
        <v>54</v>
      </c>
      <c r="C67" s="134" t="s">
        <v>156</v>
      </c>
      <c r="D67" s="135" t="s">
        <v>125</v>
      </c>
      <c r="E67" s="135">
        <v>15</v>
      </c>
      <c r="F67" s="135"/>
      <c r="G67" s="136">
        <f>VLOOKUP($C67,Quali!$B:$N,6,0)</f>
        <v>180</v>
      </c>
      <c r="H67" s="136">
        <f>VLOOKUP($C67,Quali!$B:$N,7,0)</f>
        <v>155</v>
      </c>
      <c r="I67" s="136">
        <f>VLOOKUP($C67,Quali!$B:$N,8,0)</f>
        <v>210</v>
      </c>
      <c r="J67" s="136">
        <f>VLOOKUP($C67,Quali!$B:$N,9,0)</f>
        <v>172</v>
      </c>
      <c r="K67" s="136">
        <f>VLOOKUP($C67,Quali!$B:$N,10,0)</f>
        <v>185</v>
      </c>
      <c r="L67" s="136">
        <f>VLOOKUP($C67,Quali!$B:$N,11,0)</f>
        <v>170</v>
      </c>
      <c r="M67" s="136">
        <f>VLOOKUP($C67,Quali!$B:$N,12,0)</f>
        <v>147</v>
      </c>
      <c r="N67" s="142">
        <f>VLOOKUP($C67,Quali!$B:$N,13,0)</f>
        <v>188</v>
      </c>
      <c r="O67" s="140"/>
      <c r="P67" s="136"/>
      <c r="Q67" s="136"/>
      <c r="R67" s="136"/>
      <c r="S67" s="136"/>
      <c r="T67" s="136"/>
      <c r="U67" s="136"/>
      <c r="V67" s="136"/>
      <c r="W67" s="136"/>
      <c r="X67" s="136"/>
      <c r="Y67" s="136"/>
      <c r="Z67" s="135">
        <f t="shared" si="1"/>
        <v>1407</v>
      </c>
      <c r="AA67" s="135">
        <f t="shared" si="2"/>
        <v>8</v>
      </c>
      <c r="AB67" s="137">
        <f t="shared" si="3"/>
        <v>175.875</v>
      </c>
      <c r="AC67" s="135">
        <f t="shared" si="4"/>
        <v>120</v>
      </c>
      <c r="AD67" s="135">
        <f t="shared" si="5"/>
        <v>1527</v>
      </c>
      <c r="AE67" s="147">
        <f>SUM(AD66:AD67)</f>
        <v>3096</v>
      </c>
    </row>
    <row r="68" spans="1:31" s="12" customFormat="1" ht="18" customHeight="1">
      <c r="A68" s="144">
        <v>33</v>
      </c>
      <c r="B68" s="133">
        <v>55</v>
      </c>
      <c r="C68" s="134" t="s">
        <v>114</v>
      </c>
      <c r="D68" s="135" t="s">
        <v>94</v>
      </c>
      <c r="E68" s="135">
        <v>4</v>
      </c>
      <c r="F68" s="135"/>
      <c r="G68" s="136">
        <f>VLOOKUP($C68,Quali!$B:$N,6,0)</f>
        <v>213</v>
      </c>
      <c r="H68" s="136">
        <f>VLOOKUP($C68,Quali!$B:$N,7,0)</f>
        <v>184</v>
      </c>
      <c r="I68" s="136">
        <f>VLOOKUP($C68,Quali!$B:$N,8,0)</f>
        <v>235</v>
      </c>
      <c r="J68" s="136">
        <f>VLOOKUP($C68,Quali!$B:$N,9,0)</f>
        <v>183</v>
      </c>
      <c r="K68" s="136">
        <f>VLOOKUP($C68,Quali!$B:$N,10,0)</f>
        <v>222</v>
      </c>
      <c r="L68" s="136">
        <f>VLOOKUP($C68,Quali!$B:$N,11,0)</f>
        <v>182</v>
      </c>
      <c r="M68" s="136">
        <f>VLOOKUP($C68,Quali!$B:$N,12,0)</f>
        <v>216</v>
      </c>
      <c r="N68" s="142">
        <f>VLOOKUP($C68,Quali!$B:$N,13,0)</f>
        <v>209</v>
      </c>
      <c r="O68" s="140"/>
      <c r="P68" s="136"/>
      <c r="Q68" s="136"/>
      <c r="R68" s="136"/>
      <c r="S68" s="136"/>
      <c r="T68" s="136"/>
      <c r="U68" s="136"/>
      <c r="V68" s="136"/>
      <c r="W68" s="136"/>
      <c r="X68" s="136"/>
      <c r="Y68" s="136"/>
      <c r="Z68" s="136">
        <f t="shared" si="1"/>
        <v>1644</v>
      </c>
      <c r="AA68" s="136">
        <f t="shared" si="2"/>
        <v>8</v>
      </c>
      <c r="AB68" s="137">
        <f t="shared" si="3"/>
        <v>205.5</v>
      </c>
      <c r="AC68" s="135">
        <f t="shared" si="4"/>
        <v>32</v>
      </c>
      <c r="AD68" s="135">
        <f aca="true" t="shared" si="6" ref="AD68:AD99">Z68+AC68</f>
        <v>1676</v>
      </c>
      <c r="AE68" s="145">
        <f>AE69</f>
        <v>3093</v>
      </c>
    </row>
    <row r="69" spans="1:31" s="12" customFormat="1" ht="18" customHeight="1">
      <c r="A69" s="144"/>
      <c r="B69" s="133">
        <v>56</v>
      </c>
      <c r="C69" s="134" t="s">
        <v>181</v>
      </c>
      <c r="D69" s="135" t="s">
        <v>94</v>
      </c>
      <c r="E69" s="135">
        <v>13</v>
      </c>
      <c r="F69" s="135"/>
      <c r="G69" s="136">
        <f>VLOOKUP($C69,Quali!$B:$N,6,0)</f>
        <v>133</v>
      </c>
      <c r="H69" s="136">
        <f>VLOOKUP($C69,Quali!$B:$N,7,0)</f>
        <v>180</v>
      </c>
      <c r="I69" s="136">
        <f>VLOOKUP($C69,Quali!$B:$N,8,0)</f>
        <v>163</v>
      </c>
      <c r="J69" s="136">
        <f>VLOOKUP($C69,Quali!$B:$N,9,0)</f>
        <v>173</v>
      </c>
      <c r="K69" s="136">
        <f>VLOOKUP($C69,Quali!$B:$N,10,0)</f>
        <v>173</v>
      </c>
      <c r="L69" s="136">
        <f>VLOOKUP($C69,Quali!$B:$N,11,0)</f>
        <v>202</v>
      </c>
      <c r="M69" s="136">
        <f>VLOOKUP($C69,Quali!$B:$N,12,0)</f>
        <v>145</v>
      </c>
      <c r="N69" s="142">
        <f>VLOOKUP($C69,Quali!$B:$N,13,0)</f>
        <v>144</v>
      </c>
      <c r="O69" s="140"/>
      <c r="P69" s="136"/>
      <c r="Q69" s="136"/>
      <c r="R69" s="136"/>
      <c r="S69" s="136"/>
      <c r="T69" s="136"/>
      <c r="U69" s="136"/>
      <c r="V69" s="136"/>
      <c r="W69" s="136"/>
      <c r="X69" s="136"/>
      <c r="Y69" s="136"/>
      <c r="Z69" s="135">
        <f aca="true" t="shared" si="7" ref="Z69:Z107">SUM(G69:Y69)</f>
        <v>1313</v>
      </c>
      <c r="AA69" s="135">
        <f aca="true" t="shared" si="8" ref="AA69:AA107">COUNT(G69:Y69)</f>
        <v>8</v>
      </c>
      <c r="AB69" s="137">
        <f aca="true" t="shared" si="9" ref="AB69:AB107">Z69/AA69</f>
        <v>164.125</v>
      </c>
      <c r="AC69" s="135">
        <f aca="true" t="shared" si="10" ref="AC69:AC113">E69*AA69</f>
        <v>104</v>
      </c>
      <c r="AD69" s="135">
        <f t="shared" si="6"/>
        <v>1417</v>
      </c>
      <c r="AE69" s="147">
        <f>SUM(AD68:AD69)</f>
        <v>3093</v>
      </c>
    </row>
    <row r="70" spans="1:31" s="12" customFormat="1" ht="18" customHeight="1">
      <c r="A70" s="144">
        <v>34</v>
      </c>
      <c r="B70" s="133">
        <v>57</v>
      </c>
      <c r="C70" s="134" t="s">
        <v>179</v>
      </c>
      <c r="D70" s="135" t="s">
        <v>99</v>
      </c>
      <c r="E70" s="135">
        <v>13</v>
      </c>
      <c r="F70" s="135" t="s">
        <v>166</v>
      </c>
      <c r="G70" s="136">
        <f>VLOOKUP($C70,Quali!$B:$N,6,0)</f>
        <v>181</v>
      </c>
      <c r="H70" s="136">
        <f>VLOOKUP($C70,Quali!$B:$N,7,0)</f>
        <v>153</v>
      </c>
      <c r="I70" s="136">
        <f>VLOOKUP($C70,Quali!$B:$N,8,0)</f>
        <v>206</v>
      </c>
      <c r="J70" s="136">
        <f>VLOOKUP($C70,Quali!$B:$N,9,0)</f>
        <v>180</v>
      </c>
      <c r="K70" s="136">
        <f>VLOOKUP($C70,Quali!$B:$N,10,0)</f>
        <v>172</v>
      </c>
      <c r="L70" s="136">
        <f>VLOOKUP($C70,Quali!$B:$N,11,0)</f>
        <v>189</v>
      </c>
      <c r="M70" s="136">
        <f>VLOOKUP($C70,Quali!$B:$N,12,0)</f>
        <v>202</v>
      </c>
      <c r="N70" s="142">
        <f>VLOOKUP($C70,Quali!$B:$N,13,0)</f>
        <v>199</v>
      </c>
      <c r="O70" s="140"/>
      <c r="P70" s="136"/>
      <c r="Q70" s="136"/>
      <c r="R70" s="136"/>
      <c r="S70" s="136"/>
      <c r="T70" s="136"/>
      <c r="U70" s="136"/>
      <c r="V70" s="136"/>
      <c r="W70" s="136"/>
      <c r="X70" s="136"/>
      <c r="Y70" s="136"/>
      <c r="Z70" s="136">
        <f t="shared" si="7"/>
        <v>1482</v>
      </c>
      <c r="AA70" s="136">
        <f t="shared" si="8"/>
        <v>8</v>
      </c>
      <c r="AB70" s="137">
        <f t="shared" si="9"/>
        <v>185.25</v>
      </c>
      <c r="AC70" s="135">
        <f t="shared" si="10"/>
        <v>104</v>
      </c>
      <c r="AD70" s="135">
        <f t="shared" si="6"/>
        <v>1586</v>
      </c>
      <c r="AE70" s="145">
        <f>AE71</f>
        <v>3090</v>
      </c>
    </row>
    <row r="71" spans="1:31" s="12" customFormat="1" ht="18" customHeight="1">
      <c r="A71" s="144"/>
      <c r="B71" s="133">
        <v>58</v>
      </c>
      <c r="C71" s="134" t="s">
        <v>180</v>
      </c>
      <c r="D71" s="135" t="s">
        <v>99</v>
      </c>
      <c r="E71" s="135">
        <v>13</v>
      </c>
      <c r="F71" s="135" t="s">
        <v>166</v>
      </c>
      <c r="G71" s="136">
        <f>VLOOKUP($C71,Quali!$B:$N,6,0)</f>
        <v>163</v>
      </c>
      <c r="H71" s="136">
        <f>VLOOKUP($C71,Quali!$B:$N,7,0)</f>
        <v>183</v>
      </c>
      <c r="I71" s="136">
        <f>VLOOKUP($C71,Quali!$B:$N,8,0)</f>
        <v>188</v>
      </c>
      <c r="J71" s="136">
        <f>VLOOKUP($C71,Quali!$B:$N,9,0)</f>
        <v>181</v>
      </c>
      <c r="K71" s="136">
        <f>VLOOKUP($C71,Quali!$B:$N,10,0)</f>
        <v>179</v>
      </c>
      <c r="L71" s="136">
        <f>VLOOKUP($C71,Quali!$B:$N,11,0)</f>
        <v>179</v>
      </c>
      <c r="M71" s="136">
        <f>VLOOKUP($C71,Quali!$B:$N,12,0)</f>
        <v>156</v>
      </c>
      <c r="N71" s="142">
        <f>VLOOKUP($C71,Quali!$B:$N,13,0)</f>
        <v>171</v>
      </c>
      <c r="O71" s="140"/>
      <c r="P71" s="136"/>
      <c r="Q71" s="136"/>
      <c r="R71" s="136"/>
      <c r="S71" s="136"/>
      <c r="T71" s="136"/>
      <c r="U71" s="136"/>
      <c r="V71" s="136"/>
      <c r="W71" s="136"/>
      <c r="X71" s="136"/>
      <c r="Y71" s="136"/>
      <c r="Z71" s="135">
        <f t="shared" si="7"/>
        <v>1400</v>
      </c>
      <c r="AA71" s="135">
        <f t="shared" si="8"/>
        <v>8</v>
      </c>
      <c r="AB71" s="137">
        <f t="shared" si="9"/>
        <v>175</v>
      </c>
      <c r="AC71" s="135">
        <f t="shared" si="10"/>
        <v>104</v>
      </c>
      <c r="AD71" s="135">
        <f t="shared" si="6"/>
        <v>1504</v>
      </c>
      <c r="AE71" s="147">
        <f>SUM(AD70:AD71)</f>
        <v>3090</v>
      </c>
    </row>
    <row r="72" spans="1:31" s="12" customFormat="1" ht="18" customHeight="1">
      <c r="A72" s="144">
        <v>35</v>
      </c>
      <c r="B72" s="133">
        <v>59</v>
      </c>
      <c r="C72" s="134" t="s">
        <v>144</v>
      </c>
      <c r="D72" s="135" t="s">
        <v>99</v>
      </c>
      <c r="E72" s="139">
        <v>11</v>
      </c>
      <c r="F72" s="135"/>
      <c r="G72" s="136">
        <f>VLOOKUP($C72,Quali!$B:$N,6,0)</f>
        <v>168</v>
      </c>
      <c r="H72" s="136">
        <f>VLOOKUP($C72,Quali!$B:$N,7,0)</f>
        <v>201</v>
      </c>
      <c r="I72" s="136">
        <f>VLOOKUP($C72,Quali!$B:$N,8,0)</f>
        <v>181</v>
      </c>
      <c r="J72" s="136">
        <f>VLOOKUP($C72,Quali!$B:$N,9,0)</f>
        <v>173</v>
      </c>
      <c r="K72" s="136">
        <f>VLOOKUP($C72,Quali!$B:$N,10,0)</f>
        <v>193</v>
      </c>
      <c r="L72" s="136">
        <f>VLOOKUP($C72,Quali!$B:$N,11,0)</f>
        <v>176</v>
      </c>
      <c r="M72" s="136">
        <f>VLOOKUP($C72,Quali!$B:$N,12,0)</f>
        <v>135</v>
      </c>
      <c r="N72" s="142">
        <f>VLOOKUP($C72,Quali!$B:$N,13,0)</f>
        <v>204</v>
      </c>
      <c r="O72" s="140"/>
      <c r="P72" s="136"/>
      <c r="Q72" s="136"/>
      <c r="R72" s="136"/>
      <c r="S72" s="136"/>
      <c r="T72" s="136"/>
      <c r="U72" s="136"/>
      <c r="V72" s="136"/>
      <c r="W72" s="136"/>
      <c r="X72" s="136"/>
      <c r="Y72" s="136"/>
      <c r="Z72" s="136">
        <f t="shared" si="7"/>
        <v>1431</v>
      </c>
      <c r="AA72" s="136">
        <f t="shared" si="8"/>
        <v>8</v>
      </c>
      <c r="AB72" s="137">
        <f t="shared" si="9"/>
        <v>178.875</v>
      </c>
      <c r="AC72" s="135">
        <f t="shared" si="10"/>
        <v>88</v>
      </c>
      <c r="AD72" s="135">
        <f t="shared" si="6"/>
        <v>1519</v>
      </c>
      <c r="AE72" s="145">
        <f>AE73</f>
        <v>3081</v>
      </c>
    </row>
    <row r="73" spans="1:31" s="12" customFormat="1" ht="18" customHeight="1">
      <c r="A73" s="144"/>
      <c r="B73" s="133">
        <v>60</v>
      </c>
      <c r="C73" s="134" t="s">
        <v>145</v>
      </c>
      <c r="D73" s="135" t="s">
        <v>94</v>
      </c>
      <c r="E73" s="135">
        <v>7</v>
      </c>
      <c r="F73" s="135"/>
      <c r="G73" s="136">
        <f>VLOOKUP($C73,Quali!$B:$N,6,0)</f>
        <v>141</v>
      </c>
      <c r="H73" s="136">
        <f>VLOOKUP($C73,Quali!$B:$N,7,0)</f>
        <v>170</v>
      </c>
      <c r="I73" s="136">
        <f>VLOOKUP($C73,Quali!$B:$N,8,0)</f>
        <v>200</v>
      </c>
      <c r="J73" s="136">
        <f>VLOOKUP($C73,Quali!$B:$N,9,0)</f>
        <v>178</v>
      </c>
      <c r="K73" s="136">
        <f>VLOOKUP($C73,Quali!$B:$N,10,0)</f>
        <v>171</v>
      </c>
      <c r="L73" s="136">
        <f>VLOOKUP($C73,Quali!$B:$N,11,0)</f>
        <v>189</v>
      </c>
      <c r="M73" s="136">
        <f>VLOOKUP($C73,Quali!$B:$N,12,0)</f>
        <v>241</v>
      </c>
      <c r="N73" s="142">
        <f>VLOOKUP($C73,Quali!$B:$N,13,0)</f>
        <v>216</v>
      </c>
      <c r="O73" s="140"/>
      <c r="P73" s="136"/>
      <c r="Q73" s="136"/>
      <c r="R73" s="136"/>
      <c r="S73" s="136"/>
      <c r="T73" s="136"/>
      <c r="U73" s="136"/>
      <c r="V73" s="136"/>
      <c r="W73" s="136"/>
      <c r="X73" s="136"/>
      <c r="Y73" s="136"/>
      <c r="Z73" s="135">
        <f t="shared" si="7"/>
        <v>1506</v>
      </c>
      <c r="AA73" s="135">
        <f t="shared" si="8"/>
        <v>8</v>
      </c>
      <c r="AB73" s="137">
        <f t="shared" si="9"/>
        <v>188.25</v>
      </c>
      <c r="AC73" s="135">
        <f t="shared" si="10"/>
        <v>56</v>
      </c>
      <c r="AD73" s="135">
        <f t="shared" si="6"/>
        <v>1562</v>
      </c>
      <c r="AE73" s="147">
        <f>SUM(AD72:AD73)</f>
        <v>3081</v>
      </c>
    </row>
    <row r="74" spans="1:31" s="12" customFormat="1" ht="18" customHeight="1">
      <c r="A74" s="144">
        <v>36</v>
      </c>
      <c r="B74" s="133">
        <v>61</v>
      </c>
      <c r="C74" s="138" t="s">
        <v>146</v>
      </c>
      <c r="D74" s="135" t="s">
        <v>99</v>
      </c>
      <c r="E74" s="135">
        <v>5</v>
      </c>
      <c r="F74" s="135"/>
      <c r="G74" s="136">
        <f>VLOOKUP($C74,Quali!$B:$N,6,0)</f>
        <v>157</v>
      </c>
      <c r="H74" s="136">
        <f>VLOOKUP($C74,Quali!$B:$N,7,0)</f>
        <v>192</v>
      </c>
      <c r="I74" s="136">
        <f>VLOOKUP($C74,Quali!$B:$N,8,0)</f>
        <v>179</v>
      </c>
      <c r="J74" s="136">
        <f>VLOOKUP($C74,Quali!$B:$N,9,0)</f>
        <v>196</v>
      </c>
      <c r="K74" s="136">
        <f>VLOOKUP($C74,Quali!$B:$N,10,0)</f>
        <v>134</v>
      </c>
      <c r="L74" s="136">
        <f>VLOOKUP($C74,Quali!$B:$N,11,0)</f>
        <v>207</v>
      </c>
      <c r="M74" s="136">
        <f>VLOOKUP($C74,Quali!$B:$N,12,0)</f>
        <v>216</v>
      </c>
      <c r="N74" s="142">
        <f>VLOOKUP($C74,Quali!$B:$N,13,0)</f>
        <v>203</v>
      </c>
      <c r="O74" s="140"/>
      <c r="P74" s="136"/>
      <c r="Q74" s="136"/>
      <c r="R74" s="136"/>
      <c r="S74" s="136"/>
      <c r="T74" s="136"/>
      <c r="U74" s="136"/>
      <c r="V74" s="136"/>
      <c r="W74" s="136"/>
      <c r="X74" s="136"/>
      <c r="Y74" s="136"/>
      <c r="Z74" s="136">
        <f t="shared" si="7"/>
        <v>1484</v>
      </c>
      <c r="AA74" s="136">
        <f t="shared" si="8"/>
        <v>8</v>
      </c>
      <c r="AB74" s="137">
        <f t="shared" si="9"/>
        <v>185.5</v>
      </c>
      <c r="AC74" s="135">
        <f t="shared" si="10"/>
        <v>40</v>
      </c>
      <c r="AD74" s="135">
        <f t="shared" si="6"/>
        <v>1524</v>
      </c>
      <c r="AE74" s="145">
        <f>AE75</f>
        <v>3070</v>
      </c>
    </row>
    <row r="75" spans="1:31" s="12" customFormat="1" ht="18" customHeight="1">
      <c r="A75" s="144"/>
      <c r="B75" s="133">
        <v>62</v>
      </c>
      <c r="C75" s="134" t="s">
        <v>147</v>
      </c>
      <c r="D75" s="135" t="s">
        <v>99</v>
      </c>
      <c r="E75" s="135">
        <v>13</v>
      </c>
      <c r="F75" s="135"/>
      <c r="G75" s="136">
        <f>VLOOKUP($C75,Quali!$B:$N,6,0)</f>
        <v>203</v>
      </c>
      <c r="H75" s="136">
        <f>VLOOKUP($C75,Quali!$B:$N,7,0)</f>
        <v>153</v>
      </c>
      <c r="I75" s="136">
        <f>VLOOKUP($C75,Quali!$B:$N,8,0)</f>
        <v>184</v>
      </c>
      <c r="J75" s="136">
        <f>VLOOKUP($C75,Quali!$B:$N,9,0)</f>
        <v>195</v>
      </c>
      <c r="K75" s="136">
        <f>VLOOKUP($C75,Quali!$B:$N,10,0)</f>
        <v>184</v>
      </c>
      <c r="L75" s="136">
        <f>VLOOKUP($C75,Quali!$B:$N,11,0)</f>
        <v>168</v>
      </c>
      <c r="M75" s="136">
        <f>VLOOKUP($C75,Quali!$B:$N,12,0)</f>
        <v>170</v>
      </c>
      <c r="N75" s="142">
        <f>VLOOKUP($C75,Quali!$B:$N,13,0)</f>
        <v>185</v>
      </c>
      <c r="O75" s="140"/>
      <c r="P75" s="136"/>
      <c r="Q75" s="136"/>
      <c r="R75" s="136"/>
      <c r="S75" s="136"/>
      <c r="T75" s="136"/>
      <c r="U75" s="136"/>
      <c r="V75" s="136"/>
      <c r="W75" s="136"/>
      <c r="X75" s="136"/>
      <c r="Y75" s="136"/>
      <c r="Z75" s="135">
        <f t="shared" si="7"/>
        <v>1442</v>
      </c>
      <c r="AA75" s="135">
        <f t="shared" si="8"/>
        <v>8</v>
      </c>
      <c r="AB75" s="137">
        <f t="shared" si="9"/>
        <v>180.25</v>
      </c>
      <c r="AC75" s="135">
        <f t="shared" si="10"/>
        <v>104</v>
      </c>
      <c r="AD75" s="135">
        <f t="shared" si="6"/>
        <v>1546</v>
      </c>
      <c r="AE75" s="147">
        <f>SUM(AD74:AD75)</f>
        <v>3070</v>
      </c>
    </row>
    <row r="76" spans="1:31" s="12" customFormat="1" ht="18" customHeight="1">
      <c r="A76" s="144">
        <v>37</v>
      </c>
      <c r="B76" s="133">
        <v>63</v>
      </c>
      <c r="C76" s="134" t="s">
        <v>96</v>
      </c>
      <c r="D76" s="135" t="s">
        <v>94</v>
      </c>
      <c r="E76" s="135">
        <v>11</v>
      </c>
      <c r="F76" s="135" t="s">
        <v>166</v>
      </c>
      <c r="G76" s="136">
        <f>VLOOKUP($C76,Quali!$B:$N,6,0)</f>
        <v>243</v>
      </c>
      <c r="H76" s="136">
        <f>VLOOKUP($C76,Quali!$B:$N,7,0)</f>
        <v>148</v>
      </c>
      <c r="I76" s="136">
        <f>VLOOKUP($C76,Quali!$B:$N,8,0)</f>
        <v>157</v>
      </c>
      <c r="J76" s="136">
        <f>VLOOKUP($C76,Quali!$B:$N,9,0)</f>
        <v>171</v>
      </c>
      <c r="K76" s="136">
        <f>VLOOKUP($C76,Quali!$B:$N,10,0)</f>
        <v>166</v>
      </c>
      <c r="L76" s="136">
        <f>VLOOKUP($C76,Quali!$B:$N,11,0)</f>
        <v>201</v>
      </c>
      <c r="M76" s="136">
        <f>VLOOKUP($C76,Quali!$B:$N,12,0)</f>
        <v>187</v>
      </c>
      <c r="N76" s="142">
        <f>VLOOKUP($C76,Quali!$B:$N,13,0)</f>
        <v>164</v>
      </c>
      <c r="O76" s="140"/>
      <c r="P76" s="136"/>
      <c r="Q76" s="136"/>
      <c r="R76" s="136"/>
      <c r="S76" s="136"/>
      <c r="T76" s="136"/>
      <c r="U76" s="136"/>
      <c r="V76" s="136"/>
      <c r="W76" s="136"/>
      <c r="X76" s="136"/>
      <c r="Y76" s="136"/>
      <c r="Z76" s="136">
        <f t="shared" si="7"/>
        <v>1437</v>
      </c>
      <c r="AA76" s="136">
        <f t="shared" si="8"/>
        <v>8</v>
      </c>
      <c r="AB76" s="137">
        <f t="shared" si="9"/>
        <v>179.625</v>
      </c>
      <c r="AC76" s="135">
        <f t="shared" si="10"/>
        <v>88</v>
      </c>
      <c r="AD76" s="135">
        <f t="shared" si="6"/>
        <v>1525</v>
      </c>
      <c r="AE76" s="145">
        <f>AE77</f>
        <v>3036</v>
      </c>
    </row>
    <row r="77" spans="1:31" s="12" customFormat="1" ht="18" customHeight="1">
      <c r="A77" s="144"/>
      <c r="B77" s="133">
        <v>64</v>
      </c>
      <c r="C77" s="134" t="s">
        <v>97</v>
      </c>
      <c r="D77" s="135" t="s">
        <v>94</v>
      </c>
      <c r="E77" s="135">
        <v>29</v>
      </c>
      <c r="F77" s="135" t="s">
        <v>166</v>
      </c>
      <c r="G77" s="136">
        <f>VLOOKUP($C77,Quali!$B:$N,6,0)</f>
        <v>113</v>
      </c>
      <c r="H77" s="136">
        <f>VLOOKUP($C77,Quali!$B:$N,7,0)</f>
        <v>134</v>
      </c>
      <c r="I77" s="136">
        <f>VLOOKUP($C77,Quali!$B:$N,8,0)</f>
        <v>206</v>
      </c>
      <c r="J77" s="136">
        <f>VLOOKUP($C77,Quali!$B:$N,9,0)</f>
        <v>122</v>
      </c>
      <c r="K77" s="136">
        <f>VLOOKUP($C77,Quali!$B:$N,10,0)</f>
        <v>144</v>
      </c>
      <c r="L77" s="136">
        <f>VLOOKUP($C77,Quali!$B:$N,11,0)</f>
        <v>194</v>
      </c>
      <c r="M77" s="136">
        <f>VLOOKUP($C77,Quali!$B:$N,12,0)</f>
        <v>208</v>
      </c>
      <c r="N77" s="142">
        <f>VLOOKUP($C77,Quali!$B:$N,13,0)</f>
        <v>158</v>
      </c>
      <c r="O77" s="140"/>
      <c r="P77" s="136"/>
      <c r="Q77" s="136"/>
      <c r="R77" s="136"/>
      <c r="S77" s="136"/>
      <c r="T77" s="136"/>
      <c r="U77" s="136"/>
      <c r="V77" s="136"/>
      <c r="W77" s="136"/>
      <c r="X77" s="136"/>
      <c r="Y77" s="136"/>
      <c r="Z77" s="135">
        <f t="shared" si="7"/>
        <v>1279</v>
      </c>
      <c r="AA77" s="135">
        <f t="shared" si="8"/>
        <v>8</v>
      </c>
      <c r="AB77" s="137">
        <f t="shared" si="9"/>
        <v>159.875</v>
      </c>
      <c r="AC77" s="135">
        <f t="shared" si="10"/>
        <v>232</v>
      </c>
      <c r="AD77" s="135">
        <f t="shared" si="6"/>
        <v>1511</v>
      </c>
      <c r="AE77" s="147">
        <f>SUM(AD76:AD77)</f>
        <v>3036</v>
      </c>
    </row>
    <row r="78" spans="1:31" s="12" customFormat="1" ht="18" customHeight="1">
      <c r="A78" s="144">
        <v>38</v>
      </c>
      <c r="B78" s="133">
        <v>113</v>
      </c>
      <c r="C78" s="138" t="s">
        <v>91</v>
      </c>
      <c r="D78" s="135" t="s">
        <v>89</v>
      </c>
      <c r="E78" s="135">
        <v>29</v>
      </c>
      <c r="F78" s="135"/>
      <c r="G78" s="136">
        <f>VLOOKUP($C78,Quali!$B:$N,6,0)</f>
        <v>148</v>
      </c>
      <c r="H78" s="136">
        <f>VLOOKUP($C78,Quali!$B:$N,7,0)</f>
        <v>121</v>
      </c>
      <c r="I78" s="136">
        <f>VLOOKUP($C78,Quali!$B:$N,8,0)</f>
        <v>143</v>
      </c>
      <c r="J78" s="136">
        <f>VLOOKUP($C78,Quali!$B:$N,9,0)</f>
        <v>151</v>
      </c>
      <c r="K78" s="136">
        <f>VLOOKUP($C78,Quali!$B:$N,10,0)</f>
        <v>149</v>
      </c>
      <c r="L78" s="136">
        <f>VLOOKUP($C78,Quali!$B:$N,11,0)</f>
        <v>149</v>
      </c>
      <c r="M78" s="136">
        <f>VLOOKUP($C78,Quali!$B:$N,12,0)</f>
        <v>138</v>
      </c>
      <c r="N78" s="142">
        <f>VLOOKUP($C78,Quali!$B:$N,13,0)</f>
        <v>159</v>
      </c>
      <c r="O78" s="140"/>
      <c r="P78" s="136"/>
      <c r="Q78" s="136"/>
      <c r="R78" s="136"/>
      <c r="S78" s="136"/>
      <c r="T78" s="136"/>
      <c r="U78" s="136"/>
      <c r="V78" s="136"/>
      <c r="W78" s="136"/>
      <c r="X78" s="136"/>
      <c r="Y78" s="136"/>
      <c r="Z78" s="136">
        <f t="shared" si="7"/>
        <v>1158</v>
      </c>
      <c r="AA78" s="136">
        <f t="shared" si="8"/>
        <v>8</v>
      </c>
      <c r="AB78" s="137">
        <f t="shared" si="9"/>
        <v>144.75</v>
      </c>
      <c r="AC78" s="135">
        <f t="shared" si="10"/>
        <v>232</v>
      </c>
      <c r="AD78" s="135">
        <f t="shared" si="6"/>
        <v>1390</v>
      </c>
      <c r="AE78" s="145">
        <f>AE79</f>
        <v>3026</v>
      </c>
    </row>
    <row r="79" spans="1:31" s="12" customFormat="1" ht="18" customHeight="1">
      <c r="A79" s="144"/>
      <c r="B79" s="133">
        <v>114</v>
      </c>
      <c r="C79" s="138" t="s">
        <v>92</v>
      </c>
      <c r="D79" s="135" t="s">
        <v>89</v>
      </c>
      <c r="E79" s="135">
        <v>11</v>
      </c>
      <c r="F79" s="135"/>
      <c r="G79" s="136">
        <f>VLOOKUP($C79,Quali!$B:$N,6,0)</f>
        <v>214</v>
      </c>
      <c r="H79" s="136">
        <f>VLOOKUP($C79,Quali!$B:$N,7,0)</f>
        <v>183</v>
      </c>
      <c r="I79" s="136">
        <f>VLOOKUP($C79,Quali!$B:$N,8,0)</f>
        <v>178</v>
      </c>
      <c r="J79" s="136">
        <f>VLOOKUP($C79,Quali!$B:$N,9,0)</f>
        <v>199</v>
      </c>
      <c r="K79" s="136">
        <f>VLOOKUP($C79,Quali!$B:$N,10,0)</f>
        <v>187</v>
      </c>
      <c r="L79" s="136">
        <f>VLOOKUP($C79,Quali!$B:$N,11,0)</f>
        <v>196</v>
      </c>
      <c r="M79" s="136">
        <f>VLOOKUP($C79,Quali!$B:$N,12,0)</f>
        <v>189</v>
      </c>
      <c r="N79" s="142">
        <f>VLOOKUP($C79,Quali!$B:$N,13,0)</f>
        <v>202</v>
      </c>
      <c r="O79" s="140"/>
      <c r="P79" s="136"/>
      <c r="Q79" s="136"/>
      <c r="R79" s="136"/>
      <c r="S79" s="136"/>
      <c r="T79" s="136"/>
      <c r="U79" s="136"/>
      <c r="V79" s="136"/>
      <c r="W79" s="136"/>
      <c r="X79" s="136"/>
      <c r="Y79" s="136"/>
      <c r="Z79" s="135">
        <f t="shared" si="7"/>
        <v>1548</v>
      </c>
      <c r="AA79" s="135">
        <f t="shared" si="8"/>
        <v>8</v>
      </c>
      <c r="AB79" s="137">
        <f t="shared" si="9"/>
        <v>193.5</v>
      </c>
      <c r="AC79" s="135">
        <f t="shared" si="10"/>
        <v>88</v>
      </c>
      <c r="AD79" s="135">
        <f t="shared" si="6"/>
        <v>1636</v>
      </c>
      <c r="AE79" s="147">
        <f>SUM(AD78:AD79)</f>
        <v>3026</v>
      </c>
    </row>
    <row r="80" spans="1:31" s="12" customFormat="1" ht="18" customHeight="1">
      <c r="A80" s="144">
        <v>39</v>
      </c>
      <c r="B80" s="133">
        <v>65</v>
      </c>
      <c r="C80" s="134" t="s">
        <v>24</v>
      </c>
      <c r="D80" s="135" t="s">
        <v>119</v>
      </c>
      <c r="E80" s="135">
        <v>8</v>
      </c>
      <c r="F80" s="135"/>
      <c r="G80" s="136">
        <f>VLOOKUP($C80,Quali!$B:$N,6,0)</f>
        <v>192</v>
      </c>
      <c r="H80" s="136">
        <f>VLOOKUP($C80,Quali!$B:$N,7,0)</f>
        <v>192</v>
      </c>
      <c r="I80" s="136">
        <f>VLOOKUP($C80,Quali!$B:$N,8,0)</f>
        <v>171</v>
      </c>
      <c r="J80" s="136">
        <f>VLOOKUP($C80,Quali!$B:$N,9,0)</f>
        <v>173</v>
      </c>
      <c r="K80" s="136">
        <f>VLOOKUP($C80,Quali!$B:$N,10,0)</f>
        <v>236</v>
      </c>
      <c r="L80" s="136">
        <f>VLOOKUP($C80,Quali!$B:$N,11,0)</f>
        <v>182</v>
      </c>
      <c r="M80" s="136">
        <f>VLOOKUP($C80,Quali!$B:$N,12,0)</f>
        <v>170</v>
      </c>
      <c r="N80" s="142">
        <f>VLOOKUP($C80,Quali!$B:$N,13,0)</f>
        <v>173</v>
      </c>
      <c r="O80" s="140"/>
      <c r="P80" s="136"/>
      <c r="Q80" s="136"/>
      <c r="R80" s="136"/>
      <c r="S80" s="136"/>
      <c r="T80" s="136"/>
      <c r="U80" s="136"/>
      <c r="V80" s="136"/>
      <c r="W80" s="136"/>
      <c r="X80" s="136"/>
      <c r="Y80" s="136"/>
      <c r="Z80" s="136">
        <f t="shared" si="7"/>
        <v>1489</v>
      </c>
      <c r="AA80" s="136">
        <f t="shared" si="8"/>
        <v>8</v>
      </c>
      <c r="AB80" s="137">
        <f t="shared" si="9"/>
        <v>186.125</v>
      </c>
      <c r="AC80" s="135">
        <f t="shared" si="10"/>
        <v>64</v>
      </c>
      <c r="AD80" s="135">
        <f t="shared" si="6"/>
        <v>1553</v>
      </c>
      <c r="AE80" s="145">
        <f>AE81</f>
        <v>3007</v>
      </c>
    </row>
    <row r="81" spans="1:31" s="12" customFormat="1" ht="18" customHeight="1">
      <c r="A81" s="144"/>
      <c r="B81" s="133">
        <v>66</v>
      </c>
      <c r="C81" s="138" t="s">
        <v>120</v>
      </c>
      <c r="D81" s="135" t="s">
        <v>119</v>
      </c>
      <c r="E81" s="135">
        <v>8</v>
      </c>
      <c r="F81" s="135"/>
      <c r="G81" s="136">
        <f>VLOOKUP($C81,Quali!$B:$N,6,0)</f>
        <v>174</v>
      </c>
      <c r="H81" s="136">
        <f>VLOOKUP($C81,Quali!$B:$N,7,0)</f>
        <v>168</v>
      </c>
      <c r="I81" s="136">
        <f>VLOOKUP($C81,Quali!$B:$N,8,0)</f>
        <v>168</v>
      </c>
      <c r="J81" s="136">
        <f>VLOOKUP($C81,Quali!$B:$N,9,0)</f>
        <v>161</v>
      </c>
      <c r="K81" s="136">
        <f>VLOOKUP($C81,Quali!$B:$N,10,0)</f>
        <v>177</v>
      </c>
      <c r="L81" s="136">
        <f>VLOOKUP($C81,Quali!$B:$N,11,0)</f>
        <v>216</v>
      </c>
      <c r="M81" s="136">
        <f>VLOOKUP($C81,Quali!$B:$N,12,0)</f>
        <v>160</v>
      </c>
      <c r="N81" s="142">
        <f>VLOOKUP($C81,Quali!$B:$N,13,0)</f>
        <v>166</v>
      </c>
      <c r="O81" s="140"/>
      <c r="P81" s="136"/>
      <c r="Q81" s="136"/>
      <c r="R81" s="136"/>
      <c r="S81" s="136"/>
      <c r="T81" s="136"/>
      <c r="U81" s="136"/>
      <c r="V81" s="136"/>
      <c r="W81" s="136"/>
      <c r="X81" s="136"/>
      <c r="Y81" s="136"/>
      <c r="Z81" s="135">
        <f t="shared" si="7"/>
        <v>1390</v>
      </c>
      <c r="AA81" s="135">
        <f t="shared" si="8"/>
        <v>8</v>
      </c>
      <c r="AB81" s="137">
        <f t="shared" si="9"/>
        <v>173.75</v>
      </c>
      <c r="AC81" s="135">
        <f t="shared" si="10"/>
        <v>64</v>
      </c>
      <c r="AD81" s="135">
        <f t="shared" si="6"/>
        <v>1454</v>
      </c>
      <c r="AE81" s="147">
        <f>SUM(AD80:AD81)</f>
        <v>3007</v>
      </c>
    </row>
    <row r="82" spans="1:31" s="12" customFormat="1" ht="18" customHeight="1">
      <c r="A82" s="144">
        <v>40</v>
      </c>
      <c r="B82" s="133">
        <v>67</v>
      </c>
      <c r="C82" s="134" t="s">
        <v>132</v>
      </c>
      <c r="D82" s="135" t="s">
        <v>133</v>
      </c>
      <c r="E82" s="135">
        <v>1</v>
      </c>
      <c r="F82" s="135"/>
      <c r="G82" s="136">
        <f>VLOOKUP($C82,Quali!$B:$N,6,0)</f>
        <v>138</v>
      </c>
      <c r="H82" s="136">
        <f>VLOOKUP($C82,Quali!$B:$N,7,0)</f>
        <v>209</v>
      </c>
      <c r="I82" s="136">
        <f>VLOOKUP($C82,Quali!$B:$N,8,0)</f>
        <v>176</v>
      </c>
      <c r="J82" s="136">
        <f>VLOOKUP($C82,Quali!$B:$N,9,0)</f>
        <v>163</v>
      </c>
      <c r="K82" s="136">
        <f>VLOOKUP($C82,Quali!$B:$N,10,0)</f>
        <v>180</v>
      </c>
      <c r="L82" s="136">
        <f>VLOOKUP($C82,Quali!$B:$N,11,0)</f>
        <v>144</v>
      </c>
      <c r="M82" s="136">
        <f>VLOOKUP($C82,Quali!$B:$N,12,0)</f>
        <v>194</v>
      </c>
      <c r="N82" s="142">
        <f>VLOOKUP($C82,Quali!$B:$N,13,0)</f>
        <v>168</v>
      </c>
      <c r="O82" s="140"/>
      <c r="P82" s="136"/>
      <c r="Q82" s="136"/>
      <c r="R82" s="136"/>
      <c r="S82" s="136"/>
      <c r="T82" s="136"/>
      <c r="U82" s="136"/>
      <c r="V82" s="136"/>
      <c r="W82" s="136"/>
      <c r="X82" s="136"/>
      <c r="Y82" s="136"/>
      <c r="Z82" s="136">
        <f t="shared" si="7"/>
        <v>1372</v>
      </c>
      <c r="AA82" s="136">
        <f t="shared" si="8"/>
        <v>8</v>
      </c>
      <c r="AB82" s="137">
        <f t="shared" si="9"/>
        <v>171.5</v>
      </c>
      <c r="AC82" s="135">
        <f t="shared" si="10"/>
        <v>8</v>
      </c>
      <c r="AD82" s="135">
        <f t="shared" si="6"/>
        <v>1380</v>
      </c>
      <c r="AE82" s="145">
        <f>AE83</f>
        <v>2992</v>
      </c>
    </row>
    <row r="83" spans="1:31" s="12" customFormat="1" ht="18" customHeight="1">
      <c r="A83" s="144"/>
      <c r="B83" s="133">
        <v>68</v>
      </c>
      <c r="C83" s="138" t="s">
        <v>134</v>
      </c>
      <c r="D83" s="135" t="s">
        <v>133</v>
      </c>
      <c r="E83" s="135">
        <v>7</v>
      </c>
      <c r="F83" s="135"/>
      <c r="G83" s="136">
        <f>VLOOKUP($C83,Quali!$B:$N,6,0)</f>
        <v>195</v>
      </c>
      <c r="H83" s="136">
        <f>VLOOKUP($C83,Quali!$B:$N,7,0)</f>
        <v>220</v>
      </c>
      <c r="I83" s="136">
        <f>VLOOKUP($C83,Quali!$B:$N,8,0)</f>
        <v>191</v>
      </c>
      <c r="J83" s="136">
        <f>VLOOKUP($C83,Quali!$B:$N,9,0)</f>
        <v>202</v>
      </c>
      <c r="K83" s="136">
        <f>VLOOKUP($C83,Quali!$B:$N,10,0)</f>
        <v>181</v>
      </c>
      <c r="L83" s="136">
        <f>VLOOKUP($C83,Quali!$B:$N,11,0)</f>
        <v>184</v>
      </c>
      <c r="M83" s="136">
        <f>VLOOKUP($C83,Quali!$B:$N,12,0)</f>
        <v>195</v>
      </c>
      <c r="N83" s="142">
        <f>VLOOKUP($C83,Quali!$B:$N,13,0)</f>
        <v>188</v>
      </c>
      <c r="O83" s="140"/>
      <c r="P83" s="136"/>
      <c r="Q83" s="136"/>
      <c r="R83" s="136"/>
      <c r="S83" s="136"/>
      <c r="T83" s="136"/>
      <c r="U83" s="136"/>
      <c r="V83" s="136"/>
      <c r="W83" s="136"/>
      <c r="X83" s="136"/>
      <c r="Y83" s="136"/>
      <c r="Z83" s="135">
        <f t="shared" si="7"/>
        <v>1556</v>
      </c>
      <c r="AA83" s="135">
        <f t="shared" si="8"/>
        <v>8</v>
      </c>
      <c r="AB83" s="137">
        <f t="shared" si="9"/>
        <v>194.5</v>
      </c>
      <c r="AC83" s="135">
        <f t="shared" si="10"/>
        <v>56</v>
      </c>
      <c r="AD83" s="135">
        <f t="shared" si="6"/>
        <v>1612</v>
      </c>
      <c r="AE83" s="147">
        <f>SUM(AD82:AD83)</f>
        <v>2992</v>
      </c>
    </row>
    <row r="84" spans="1:31" s="12" customFormat="1" ht="18" customHeight="1">
      <c r="A84" s="144">
        <v>41</v>
      </c>
      <c r="B84" s="133">
        <v>69</v>
      </c>
      <c r="C84" s="134" t="s">
        <v>148</v>
      </c>
      <c r="D84" s="135" t="s">
        <v>99</v>
      </c>
      <c r="E84" s="135">
        <v>4</v>
      </c>
      <c r="F84" s="135"/>
      <c r="G84" s="136">
        <f>VLOOKUP($C84,Quali!$B:$N,6,0)</f>
        <v>169</v>
      </c>
      <c r="H84" s="136">
        <f>VLOOKUP($C84,Quali!$B:$N,7,0)</f>
        <v>300</v>
      </c>
      <c r="I84" s="136">
        <f>VLOOKUP($C84,Quali!$B:$N,8,0)</f>
        <v>167</v>
      </c>
      <c r="J84" s="136">
        <f>VLOOKUP($C84,Quali!$B:$N,9,0)</f>
        <v>217</v>
      </c>
      <c r="K84" s="136">
        <f>VLOOKUP($C84,Quali!$B:$N,10,0)</f>
        <v>181</v>
      </c>
      <c r="L84" s="136">
        <f>VLOOKUP($C84,Quali!$B:$N,11,0)</f>
        <v>190</v>
      </c>
      <c r="M84" s="136">
        <f>VLOOKUP($C84,Quali!$B:$N,12,0)</f>
        <v>175</v>
      </c>
      <c r="N84" s="142">
        <f>VLOOKUP($C84,Quali!$B:$N,13,0)</f>
        <v>199</v>
      </c>
      <c r="O84" s="140"/>
      <c r="P84" s="136"/>
      <c r="Q84" s="136"/>
      <c r="R84" s="136"/>
      <c r="S84" s="136"/>
      <c r="T84" s="136"/>
      <c r="U84" s="136"/>
      <c r="V84" s="136"/>
      <c r="W84" s="136"/>
      <c r="X84" s="136"/>
      <c r="Y84" s="136"/>
      <c r="Z84" s="136">
        <f t="shared" si="7"/>
        <v>1598</v>
      </c>
      <c r="AA84" s="136">
        <f t="shared" si="8"/>
        <v>8</v>
      </c>
      <c r="AB84" s="137">
        <f t="shared" si="9"/>
        <v>199.75</v>
      </c>
      <c r="AC84" s="135">
        <f t="shared" si="10"/>
        <v>32</v>
      </c>
      <c r="AD84" s="135">
        <f t="shared" si="6"/>
        <v>1630</v>
      </c>
      <c r="AE84" s="145">
        <f>AE85</f>
        <v>2986</v>
      </c>
    </row>
    <row r="85" spans="1:31" s="12" customFormat="1" ht="18" customHeight="1">
      <c r="A85" s="144"/>
      <c r="B85" s="133">
        <v>70</v>
      </c>
      <c r="C85" s="134" t="s">
        <v>187</v>
      </c>
      <c r="D85" s="135" t="s">
        <v>99</v>
      </c>
      <c r="E85" s="135">
        <v>23</v>
      </c>
      <c r="F85" s="135"/>
      <c r="G85" s="136">
        <f>VLOOKUP($C85,Quali!$B:$N,6,0)</f>
        <v>144</v>
      </c>
      <c r="H85" s="136">
        <f>VLOOKUP($C85,Quali!$B:$N,7,0)</f>
        <v>134</v>
      </c>
      <c r="I85" s="136">
        <f>VLOOKUP($C85,Quali!$B:$N,8,0)</f>
        <v>153</v>
      </c>
      <c r="J85" s="136">
        <f>VLOOKUP($C85,Quali!$B:$N,9,0)</f>
        <v>121</v>
      </c>
      <c r="K85" s="136">
        <f>VLOOKUP($C85,Quali!$B:$N,10,0)</f>
        <v>163</v>
      </c>
      <c r="L85" s="136">
        <f>VLOOKUP($C85,Quali!$B:$N,11,0)</f>
        <v>173</v>
      </c>
      <c r="M85" s="136">
        <f>VLOOKUP($C85,Quali!$B:$N,12,0)</f>
        <v>125</v>
      </c>
      <c r="N85" s="142">
        <f>VLOOKUP($C85,Quali!$B:$N,13,0)</f>
        <v>159</v>
      </c>
      <c r="O85" s="140"/>
      <c r="P85" s="136"/>
      <c r="Q85" s="136"/>
      <c r="R85" s="136"/>
      <c r="S85" s="136"/>
      <c r="T85" s="136"/>
      <c r="U85" s="136"/>
      <c r="V85" s="136"/>
      <c r="W85" s="136"/>
      <c r="X85" s="136"/>
      <c r="Y85" s="136"/>
      <c r="Z85" s="135">
        <f t="shared" si="7"/>
        <v>1172</v>
      </c>
      <c r="AA85" s="135">
        <f t="shared" si="8"/>
        <v>8</v>
      </c>
      <c r="AB85" s="137">
        <f t="shared" si="9"/>
        <v>146.5</v>
      </c>
      <c r="AC85" s="135">
        <f t="shared" si="10"/>
        <v>184</v>
      </c>
      <c r="AD85" s="135">
        <f t="shared" si="6"/>
        <v>1356</v>
      </c>
      <c r="AE85" s="147">
        <f>SUM(AD84:AD85)</f>
        <v>2986</v>
      </c>
    </row>
    <row r="86" spans="1:31" s="12" customFormat="1" ht="18" customHeight="1">
      <c r="A86" s="144">
        <v>42</v>
      </c>
      <c r="B86" s="133">
        <v>71</v>
      </c>
      <c r="C86" s="134" t="s">
        <v>163</v>
      </c>
      <c r="D86" s="135" t="s">
        <v>161</v>
      </c>
      <c r="E86" s="135">
        <v>26</v>
      </c>
      <c r="F86" s="135"/>
      <c r="G86" s="136">
        <f>VLOOKUP($C86,Quali!$B:$N,6,0)</f>
        <v>132</v>
      </c>
      <c r="H86" s="136">
        <f>VLOOKUP($C86,Quali!$B:$N,7,0)</f>
        <v>190</v>
      </c>
      <c r="I86" s="136">
        <f>VLOOKUP($C86,Quali!$B:$N,8,0)</f>
        <v>147</v>
      </c>
      <c r="J86" s="136">
        <f>VLOOKUP($C86,Quali!$B:$N,9,0)</f>
        <v>139</v>
      </c>
      <c r="K86" s="136">
        <f>VLOOKUP($C86,Quali!$B:$N,10,0)</f>
        <v>166</v>
      </c>
      <c r="L86" s="136">
        <f>VLOOKUP($C86,Quali!$B:$N,11,0)</f>
        <v>172</v>
      </c>
      <c r="M86" s="136">
        <f>VLOOKUP($C86,Quali!$B:$N,12,0)</f>
        <v>172</v>
      </c>
      <c r="N86" s="142">
        <f>VLOOKUP($C86,Quali!$B:$N,13,0)</f>
        <v>127</v>
      </c>
      <c r="O86" s="140"/>
      <c r="P86" s="136"/>
      <c r="Q86" s="136"/>
      <c r="R86" s="136"/>
      <c r="S86" s="136"/>
      <c r="T86" s="136"/>
      <c r="U86" s="136"/>
      <c r="V86" s="136"/>
      <c r="W86" s="136"/>
      <c r="X86" s="136"/>
      <c r="Y86" s="136"/>
      <c r="Z86" s="136">
        <f t="shared" si="7"/>
        <v>1245</v>
      </c>
      <c r="AA86" s="136">
        <f t="shared" si="8"/>
        <v>8</v>
      </c>
      <c r="AB86" s="137">
        <f t="shared" si="9"/>
        <v>155.625</v>
      </c>
      <c r="AC86" s="135">
        <f t="shared" si="10"/>
        <v>208</v>
      </c>
      <c r="AD86" s="135">
        <f t="shared" si="6"/>
        <v>1453</v>
      </c>
      <c r="AE86" s="145">
        <f>AE87</f>
        <v>2975</v>
      </c>
    </row>
    <row r="87" spans="1:31" s="12" customFormat="1" ht="18" customHeight="1">
      <c r="A87" s="144"/>
      <c r="B87" s="133">
        <v>72</v>
      </c>
      <c r="C87" s="134" t="s">
        <v>164</v>
      </c>
      <c r="D87" s="135" t="s">
        <v>161</v>
      </c>
      <c r="E87" s="135">
        <v>13</v>
      </c>
      <c r="F87" s="135"/>
      <c r="G87" s="136">
        <f>VLOOKUP($C87,Quali!$B:$N,6,0)</f>
        <v>178</v>
      </c>
      <c r="H87" s="136">
        <f>VLOOKUP($C87,Quali!$B:$N,7,0)</f>
        <v>208</v>
      </c>
      <c r="I87" s="136">
        <f>VLOOKUP($C87,Quali!$B:$N,8,0)</f>
        <v>201</v>
      </c>
      <c r="J87" s="136">
        <f>VLOOKUP($C87,Quali!$B:$N,9,0)</f>
        <v>130</v>
      </c>
      <c r="K87" s="136">
        <f>VLOOKUP($C87,Quali!$B:$N,10,0)</f>
        <v>166</v>
      </c>
      <c r="L87" s="136">
        <f>VLOOKUP($C87,Quali!$B:$N,11,0)</f>
        <v>170</v>
      </c>
      <c r="M87" s="136">
        <f>VLOOKUP($C87,Quali!$B:$N,12,0)</f>
        <v>158</v>
      </c>
      <c r="N87" s="142">
        <f>VLOOKUP($C87,Quali!$B:$N,13,0)</f>
        <v>207</v>
      </c>
      <c r="O87" s="140"/>
      <c r="P87" s="136"/>
      <c r="Q87" s="136"/>
      <c r="R87" s="136"/>
      <c r="S87" s="136"/>
      <c r="T87" s="136"/>
      <c r="U87" s="136"/>
      <c r="V87" s="136"/>
      <c r="W87" s="136"/>
      <c r="X87" s="136"/>
      <c r="Y87" s="136"/>
      <c r="Z87" s="135">
        <f t="shared" si="7"/>
        <v>1418</v>
      </c>
      <c r="AA87" s="135">
        <f t="shared" si="8"/>
        <v>8</v>
      </c>
      <c r="AB87" s="137">
        <f t="shared" si="9"/>
        <v>177.25</v>
      </c>
      <c r="AC87" s="135">
        <f t="shared" si="10"/>
        <v>104</v>
      </c>
      <c r="AD87" s="135">
        <f t="shared" si="6"/>
        <v>1522</v>
      </c>
      <c r="AE87" s="147">
        <f>SUM(AD86:AD87)</f>
        <v>2975</v>
      </c>
    </row>
    <row r="88" spans="1:31" s="12" customFormat="1" ht="18" customHeight="1">
      <c r="A88" s="144">
        <v>43</v>
      </c>
      <c r="B88" s="133">
        <v>73</v>
      </c>
      <c r="C88" s="134" t="s">
        <v>25</v>
      </c>
      <c r="D88" s="135" t="s">
        <v>94</v>
      </c>
      <c r="E88" s="135">
        <v>4</v>
      </c>
      <c r="F88" s="135"/>
      <c r="G88" s="136">
        <f>VLOOKUP($C88,Quali!$B:$N,6,0)</f>
        <v>156</v>
      </c>
      <c r="H88" s="136">
        <f>VLOOKUP($C88,Quali!$B:$N,7,0)</f>
        <v>201</v>
      </c>
      <c r="I88" s="136">
        <f>VLOOKUP($C88,Quali!$B:$N,8,0)</f>
        <v>148</v>
      </c>
      <c r="J88" s="136">
        <f>VLOOKUP($C88,Quali!$B:$N,9,0)</f>
        <v>147</v>
      </c>
      <c r="K88" s="136">
        <f>VLOOKUP($C88,Quali!$B:$N,10,0)</f>
        <v>211</v>
      </c>
      <c r="L88" s="136">
        <f>VLOOKUP($C88,Quali!$B:$N,11,0)</f>
        <v>223</v>
      </c>
      <c r="M88" s="136">
        <f>VLOOKUP($C88,Quali!$B:$N,12,0)</f>
        <v>146</v>
      </c>
      <c r="N88" s="142">
        <f>VLOOKUP($C88,Quali!$B:$N,13,0)</f>
        <v>183</v>
      </c>
      <c r="O88" s="140"/>
      <c r="P88" s="136"/>
      <c r="Q88" s="136"/>
      <c r="R88" s="136"/>
      <c r="S88" s="136"/>
      <c r="T88" s="136"/>
      <c r="U88" s="136"/>
      <c r="V88" s="136"/>
      <c r="W88" s="136"/>
      <c r="X88" s="136"/>
      <c r="Y88" s="136"/>
      <c r="Z88" s="136">
        <f t="shared" si="7"/>
        <v>1415</v>
      </c>
      <c r="AA88" s="136">
        <f t="shared" si="8"/>
        <v>8</v>
      </c>
      <c r="AB88" s="137">
        <f t="shared" si="9"/>
        <v>176.875</v>
      </c>
      <c r="AC88" s="135">
        <f t="shared" si="10"/>
        <v>32</v>
      </c>
      <c r="AD88" s="135">
        <f t="shared" si="6"/>
        <v>1447</v>
      </c>
      <c r="AE88" s="145">
        <f>AE89</f>
        <v>2959</v>
      </c>
    </row>
    <row r="89" spans="1:31" s="12" customFormat="1" ht="18" customHeight="1">
      <c r="A89" s="144"/>
      <c r="B89" s="133">
        <v>74</v>
      </c>
      <c r="C89" s="134" t="s">
        <v>22</v>
      </c>
      <c r="D89" s="135" t="s">
        <v>94</v>
      </c>
      <c r="E89" s="135">
        <v>7</v>
      </c>
      <c r="F89" s="135"/>
      <c r="G89" s="136">
        <f>VLOOKUP($C89,Quali!$B:$N,6,0)</f>
        <v>202</v>
      </c>
      <c r="H89" s="136">
        <f>VLOOKUP($C89,Quali!$B:$N,7,0)</f>
        <v>197</v>
      </c>
      <c r="I89" s="136">
        <f>VLOOKUP($C89,Quali!$B:$N,8,0)</f>
        <v>159</v>
      </c>
      <c r="J89" s="136">
        <f>VLOOKUP($C89,Quali!$B:$N,9,0)</f>
        <v>156</v>
      </c>
      <c r="K89" s="136">
        <f>VLOOKUP($C89,Quali!$B:$N,10,0)</f>
        <v>183</v>
      </c>
      <c r="L89" s="136">
        <f>VLOOKUP($C89,Quali!$B:$N,11,0)</f>
        <v>191</v>
      </c>
      <c r="M89" s="136">
        <f>VLOOKUP($C89,Quali!$B:$N,12,0)</f>
        <v>164</v>
      </c>
      <c r="N89" s="142">
        <f>VLOOKUP($C89,Quali!$B:$N,13,0)</f>
        <v>204</v>
      </c>
      <c r="O89" s="140"/>
      <c r="P89" s="136"/>
      <c r="Q89" s="136"/>
      <c r="R89" s="136"/>
      <c r="S89" s="136"/>
      <c r="T89" s="136"/>
      <c r="U89" s="136"/>
      <c r="V89" s="136"/>
      <c r="W89" s="136"/>
      <c r="X89" s="136"/>
      <c r="Y89" s="136"/>
      <c r="Z89" s="135">
        <f t="shared" si="7"/>
        <v>1456</v>
      </c>
      <c r="AA89" s="135">
        <f t="shared" si="8"/>
        <v>8</v>
      </c>
      <c r="AB89" s="137">
        <f t="shared" si="9"/>
        <v>182</v>
      </c>
      <c r="AC89" s="135">
        <f t="shared" si="10"/>
        <v>56</v>
      </c>
      <c r="AD89" s="135">
        <f t="shared" si="6"/>
        <v>1512</v>
      </c>
      <c r="AE89" s="147">
        <f>SUM(AD88:AD89)</f>
        <v>2959</v>
      </c>
    </row>
    <row r="90" spans="1:31" s="12" customFormat="1" ht="18" customHeight="1">
      <c r="A90" s="144">
        <v>44</v>
      </c>
      <c r="B90" s="133">
        <v>75</v>
      </c>
      <c r="C90" s="134" t="s">
        <v>115</v>
      </c>
      <c r="D90" s="135" t="s">
        <v>99</v>
      </c>
      <c r="E90" s="135">
        <v>17</v>
      </c>
      <c r="F90" s="135"/>
      <c r="G90" s="136">
        <f>VLOOKUP($C90,Quali!$B:$N,6,0)</f>
        <v>168</v>
      </c>
      <c r="H90" s="136">
        <f>VLOOKUP($C90,Quali!$B:$N,7,0)</f>
        <v>170</v>
      </c>
      <c r="I90" s="136">
        <f>VLOOKUP($C90,Quali!$B:$N,8,0)</f>
        <v>174</v>
      </c>
      <c r="J90" s="136">
        <f>VLOOKUP($C90,Quali!$B:$N,9,0)</f>
        <v>168</v>
      </c>
      <c r="K90" s="136">
        <f>VLOOKUP($C90,Quali!$B:$N,10,0)</f>
        <v>166</v>
      </c>
      <c r="L90" s="136">
        <f>VLOOKUP($C90,Quali!$B:$N,11,0)</f>
        <v>177</v>
      </c>
      <c r="M90" s="136">
        <f>VLOOKUP($C90,Quali!$B:$N,12,0)</f>
        <v>158</v>
      </c>
      <c r="N90" s="142">
        <f>VLOOKUP($C90,Quali!$B:$N,13,0)</f>
        <v>170</v>
      </c>
      <c r="O90" s="140"/>
      <c r="P90" s="136"/>
      <c r="Q90" s="136"/>
      <c r="R90" s="136"/>
      <c r="S90" s="136"/>
      <c r="T90" s="136"/>
      <c r="U90" s="136"/>
      <c r="V90" s="136"/>
      <c r="W90" s="136"/>
      <c r="X90" s="136"/>
      <c r="Y90" s="136"/>
      <c r="Z90" s="136">
        <f t="shared" si="7"/>
        <v>1351</v>
      </c>
      <c r="AA90" s="136">
        <f t="shared" si="8"/>
        <v>8</v>
      </c>
      <c r="AB90" s="137">
        <f t="shared" si="9"/>
        <v>168.875</v>
      </c>
      <c r="AC90" s="135">
        <f t="shared" si="10"/>
        <v>136</v>
      </c>
      <c r="AD90" s="135">
        <f t="shared" si="6"/>
        <v>1487</v>
      </c>
      <c r="AE90" s="145">
        <f>AE91</f>
        <v>2891</v>
      </c>
    </row>
    <row r="91" spans="1:31" s="12" customFormat="1" ht="18" customHeight="1">
      <c r="A91" s="144"/>
      <c r="B91" s="133">
        <v>76</v>
      </c>
      <c r="C91" s="134" t="s">
        <v>116</v>
      </c>
      <c r="D91" s="135" t="s">
        <v>99</v>
      </c>
      <c r="E91" s="135">
        <v>16</v>
      </c>
      <c r="F91" s="135"/>
      <c r="G91" s="136">
        <f>VLOOKUP($C91,Quali!$B:$N,6,0)</f>
        <v>156</v>
      </c>
      <c r="H91" s="136">
        <f>VLOOKUP($C91,Quali!$B:$N,7,0)</f>
        <v>149</v>
      </c>
      <c r="I91" s="136">
        <f>VLOOKUP($C91,Quali!$B:$N,8,0)</f>
        <v>176</v>
      </c>
      <c r="J91" s="136">
        <f>VLOOKUP($C91,Quali!$B:$N,9,0)</f>
        <v>149</v>
      </c>
      <c r="K91" s="136">
        <f>VLOOKUP($C91,Quali!$B:$N,10,0)</f>
        <v>159</v>
      </c>
      <c r="L91" s="136">
        <f>VLOOKUP($C91,Quali!$B:$N,11,0)</f>
        <v>152</v>
      </c>
      <c r="M91" s="136">
        <f>VLOOKUP($C91,Quali!$B:$N,12,0)</f>
        <v>163</v>
      </c>
      <c r="N91" s="142">
        <f>VLOOKUP($C91,Quali!$B:$N,13,0)</f>
        <v>172</v>
      </c>
      <c r="O91" s="140"/>
      <c r="P91" s="136"/>
      <c r="Q91" s="136"/>
      <c r="R91" s="136"/>
      <c r="S91" s="136"/>
      <c r="T91" s="136"/>
      <c r="U91" s="136"/>
      <c r="V91" s="136"/>
      <c r="W91" s="136"/>
      <c r="X91" s="136"/>
      <c r="Y91" s="136"/>
      <c r="Z91" s="135">
        <f t="shared" si="7"/>
        <v>1276</v>
      </c>
      <c r="AA91" s="135">
        <f t="shared" si="8"/>
        <v>8</v>
      </c>
      <c r="AB91" s="137">
        <f t="shared" si="9"/>
        <v>159.5</v>
      </c>
      <c r="AC91" s="135">
        <f t="shared" si="10"/>
        <v>128</v>
      </c>
      <c r="AD91" s="135">
        <f t="shared" si="6"/>
        <v>1404</v>
      </c>
      <c r="AE91" s="147">
        <f>SUM(AD90:AD91)</f>
        <v>2891</v>
      </c>
    </row>
    <row r="92" spans="1:31" s="12" customFormat="1" ht="18" customHeight="1">
      <c r="A92" s="144">
        <v>45</v>
      </c>
      <c r="B92" s="133">
        <v>77</v>
      </c>
      <c r="C92" s="134"/>
      <c r="D92" s="135"/>
      <c r="E92" s="135"/>
      <c r="F92" s="135"/>
      <c r="G92" s="136">
        <f>VLOOKUP($C92,Quali!$B:$N,6,0)</f>
        <v>0</v>
      </c>
      <c r="H92" s="136">
        <f>VLOOKUP($C92,Quali!$B:$N,7,0)</f>
        <v>0</v>
      </c>
      <c r="I92" s="136">
        <f>VLOOKUP($C92,Quali!$B:$N,8,0)</f>
        <v>0</v>
      </c>
      <c r="J92" s="136">
        <f>VLOOKUP($C92,Quali!$B:$N,9,0)</f>
        <v>0</v>
      </c>
      <c r="K92" s="136">
        <f>VLOOKUP($C92,Quali!$B:$N,10,0)</f>
        <v>0</v>
      </c>
      <c r="L92" s="136">
        <f>VLOOKUP($C92,Quali!$B:$N,11,0)</f>
        <v>0</v>
      </c>
      <c r="M92" s="136">
        <f>VLOOKUP($C92,Quali!$B:$N,12,0)</f>
        <v>0</v>
      </c>
      <c r="N92" s="142">
        <f>VLOOKUP($C92,Quali!$B:$N,13,0)</f>
        <v>0</v>
      </c>
      <c r="O92" s="140"/>
      <c r="P92" s="136"/>
      <c r="Q92" s="136"/>
      <c r="R92" s="136"/>
      <c r="S92" s="136"/>
      <c r="T92" s="136"/>
      <c r="U92" s="136"/>
      <c r="V92" s="136"/>
      <c r="W92" s="136"/>
      <c r="X92" s="136"/>
      <c r="Y92" s="136"/>
      <c r="Z92" s="136">
        <f t="shared" si="7"/>
        <v>0</v>
      </c>
      <c r="AA92" s="136">
        <f t="shared" si="8"/>
        <v>8</v>
      </c>
      <c r="AB92" s="137">
        <f t="shared" si="9"/>
        <v>0</v>
      </c>
      <c r="AC92" s="135">
        <f t="shared" si="10"/>
        <v>0</v>
      </c>
      <c r="AD92" s="135">
        <f t="shared" si="6"/>
        <v>0</v>
      </c>
      <c r="AE92" s="145">
        <f>AE93</f>
        <v>0</v>
      </c>
    </row>
    <row r="93" spans="1:31" s="12" customFormat="1" ht="18" customHeight="1">
      <c r="A93" s="144"/>
      <c r="B93" s="133">
        <v>78</v>
      </c>
      <c r="C93" s="134"/>
      <c r="D93" s="135"/>
      <c r="E93" s="135"/>
      <c r="F93" s="135"/>
      <c r="G93" s="136">
        <f>VLOOKUP($C93,Quali!$B:$N,6,0)</f>
        <v>0</v>
      </c>
      <c r="H93" s="136">
        <f>VLOOKUP($C93,Quali!$B:$N,7,0)</f>
        <v>0</v>
      </c>
      <c r="I93" s="136">
        <f>VLOOKUP($C93,Quali!$B:$N,8,0)</f>
        <v>0</v>
      </c>
      <c r="J93" s="136">
        <f>VLOOKUP($C93,Quali!$B:$N,9,0)</f>
        <v>0</v>
      </c>
      <c r="K93" s="136">
        <f>VLOOKUP($C93,Quali!$B:$N,10,0)</f>
        <v>0</v>
      </c>
      <c r="L93" s="136">
        <f>VLOOKUP($C93,Quali!$B:$N,11,0)</f>
        <v>0</v>
      </c>
      <c r="M93" s="136">
        <f>VLOOKUP($C93,Quali!$B:$N,12,0)</f>
        <v>0</v>
      </c>
      <c r="N93" s="142">
        <f>VLOOKUP($C93,Quali!$B:$N,13,0)</f>
        <v>0</v>
      </c>
      <c r="O93" s="140"/>
      <c r="P93" s="136"/>
      <c r="Q93" s="136"/>
      <c r="R93" s="136"/>
      <c r="S93" s="136"/>
      <c r="T93" s="136"/>
      <c r="U93" s="136"/>
      <c r="V93" s="136"/>
      <c r="W93" s="136"/>
      <c r="X93" s="136"/>
      <c r="Y93" s="136"/>
      <c r="Z93" s="135">
        <f t="shared" si="7"/>
        <v>0</v>
      </c>
      <c r="AA93" s="135">
        <f t="shared" si="8"/>
        <v>8</v>
      </c>
      <c r="AB93" s="137">
        <f t="shared" si="9"/>
        <v>0</v>
      </c>
      <c r="AC93" s="135">
        <f t="shared" si="10"/>
        <v>0</v>
      </c>
      <c r="AD93" s="135">
        <f t="shared" si="6"/>
        <v>0</v>
      </c>
      <c r="AE93" s="147">
        <f>SUM(AD92:AD93)</f>
        <v>0</v>
      </c>
    </row>
    <row r="94" spans="1:31" s="12" customFormat="1" ht="18" customHeight="1">
      <c r="A94" s="144">
        <v>46</v>
      </c>
      <c r="B94" s="133">
        <v>79</v>
      </c>
      <c r="C94" s="134"/>
      <c r="D94" s="135"/>
      <c r="E94" s="135"/>
      <c r="F94" s="135"/>
      <c r="G94" s="136">
        <f>VLOOKUP($C94,Quali!$B:$N,6,0)</f>
        <v>0</v>
      </c>
      <c r="H94" s="136">
        <f>VLOOKUP($C94,Quali!$B:$N,7,0)</f>
        <v>0</v>
      </c>
      <c r="I94" s="136">
        <f>VLOOKUP($C94,Quali!$B:$N,8,0)</f>
        <v>0</v>
      </c>
      <c r="J94" s="136">
        <f>VLOOKUP($C94,Quali!$B:$N,9,0)</f>
        <v>0</v>
      </c>
      <c r="K94" s="136">
        <f>VLOOKUP($C94,Quali!$B:$N,10,0)</f>
        <v>0</v>
      </c>
      <c r="L94" s="136">
        <f>VLOOKUP($C94,Quali!$B:$N,11,0)</f>
        <v>0</v>
      </c>
      <c r="M94" s="136">
        <f>VLOOKUP($C94,Quali!$B:$N,12,0)</f>
        <v>0</v>
      </c>
      <c r="N94" s="142">
        <f>VLOOKUP($C94,Quali!$B:$N,13,0)</f>
        <v>0</v>
      </c>
      <c r="O94" s="140"/>
      <c r="P94" s="136"/>
      <c r="Q94" s="136"/>
      <c r="R94" s="136"/>
      <c r="S94" s="136"/>
      <c r="T94" s="136"/>
      <c r="U94" s="136"/>
      <c r="V94" s="136"/>
      <c r="W94" s="136"/>
      <c r="X94" s="136"/>
      <c r="Y94" s="136"/>
      <c r="Z94" s="136">
        <f t="shared" si="7"/>
        <v>0</v>
      </c>
      <c r="AA94" s="136">
        <f t="shared" si="8"/>
        <v>8</v>
      </c>
      <c r="AB94" s="137">
        <f t="shared" si="9"/>
        <v>0</v>
      </c>
      <c r="AC94" s="135">
        <f t="shared" si="10"/>
        <v>0</v>
      </c>
      <c r="AD94" s="135">
        <f t="shared" si="6"/>
        <v>0</v>
      </c>
      <c r="AE94" s="145">
        <f>AE95</f>
        <v>0</v>
      </c>
    </row>
    <row r="95" spans="1:31" s="12" customFormat="1" ht="18" customHeight="1">
      <c r="A95" s="144"/>
      <c r="B95" s="133">
        <v>80</v>
      </c>
      <c r="C95" s="134"/>
      <c r="D95" s="135"/>
      <c r="E95" s="135"/>
      <c r="F95" s="135"/>
      <c r="G95" s="136">
        <f>VLOOKUP($C95,Quali!$B:$N,6,0)</f>
        <v>0</v>
      </c>
      <c r="H95" s="136">
        <f>VLOOKUP($C95,Quali!$B:$N,7,0)</f>
        <v>0</v>
      </c>
      <c r="I95" s="136">
        <f>VLOOKUP($C95,Quali!$B:$N,8,0)</f>
        <v>0</v>
      </c>
      <c r="J95" s="136">
        <f>VLOOKUP($C95,Quali!$B:$N,9,0)</f>
        <v>0</v>
      </c>
      <c r="K95" s="136">
        <f>VLOOKUP($C95,Quali!$B:$N,10,0)</f>
        <v>0</v>
      </c>
      <c r="L95" s="136">
        <f>VLOOKUP($C95,Quali!$B:$N,11,0)</f>
        <v>0</v>
      </c>
      <c r="M95" s="136">
        <f>VLOOKUP($C95,Quali!$B:$N,12,0)</f>
        <v>0</v>
      </c>
      <c r="N95" s="142">
        <f>VLOOKUP($C95,Quali!$B:$N,13,0)</f>
        <v>0</v>
      </c>
      <c r="O95" s="140"/>
      <c r="P95" s="136"/>
      <c r="Q95" s="136"/>
      <c r="R95" s="136"/>
      <c r="S95" s="136"/>
      <c r="T95" s="136"/>
      <c r="U95" s="136"/>
      <c r="V95" s="136"/>
      <c r="W95" s="136"/>
      <c r="X95" s="136"/>
      <c r="Y95" s="136"/>
      <c r="Z95" s="135">
        <f t="shared" si="7"/>
        <v>0</v>
      </c>
      <c r="AA95" s="135">
        <f t="shared" si="8"/>
        <v>8</v>
      </c>
      <c r="AB95" s="137">
        <f t="shared" si="9"/>
        <v>0</v>
      </c>
      <c r="AC95" s="135">
        <f t="shared" si="10"/>
        <v>0</v>
      </c>
      <c r="AD95" s="135">
        <f t="shared" si="6"/>
        <v>0</v>
      </c>
      <c r="AE95" s="147">
        <f>SUM(AD94:AD95)</f>
        <v>0</v>
      </c>
    </row>
    <row r="96" spans="1:31" s="12" customFormat="1" ht="18" customHeight="1">
      <c r="A96" s="144">
        <v>47</v>
      </c>
      <c r="B96" s="133">
        <v>81</v>
      </c>
      <c r="C96" s="138"/>
      <c r="D96" s="135"/>
      <c r="E96" s="135"/>
      <c r="F96" s="135"/>
      <c r="G96" s="136">
        <f>VLOOKUP($C96,Quali!$B:$N,6,0)</f>
        <v>0</v>
      </c>
      <c r="H96" s="136">
        <f>VLOOKUP($C96,Quali!$B:$N,7,0)</f>
        <v>0</v>
      </c>
      <c r="I96" s="136">
        <f>VLOOKUP($C96,Quali!$B:$N,8,0)</f>
        <v>0</v>
      </c>
      <c r="J96" s="136">
        <f>VLOOKUP($C96,Quali!$B:$N,9,0)</f>
        <v>0</v>
      </c>
      <c r="K96" s="136">
        <f>VLOOKUP($C96,Quali!$B:$N,10,0)</f>
        <v>0</v>
      </c>
      <c r="L96" s="136">
        <f>VLOOKUP($C96,Quali!$B:$N,11,0)</f>
        <v>0</v>
      </c>
      <c r="M96" s="136">
        <f>VLOOKUP($C96,Quali!$B:$N,12,0)</f>
        <v>0</v>
      </c>
      <c r="N96" s="142">
        <f>VLOOKUP($C96,Quali!$B:$N,13,0)</f>
        <v>0</v>
      </c>
      <c r="O96" s="140"/>
      <c r="P96" s="136"/>
      <c r="Q96" s="136"/>
      <c r="R96" s="136"/>
      <c r="S96" s="136"/>
      <c r="T96" s="136"/>
      <c r="U96" s="136"/>
      <c r="V96" s="136"/>
      <c r="W96" s="136"/>
      <c r="X96" s="136"/>
      <c r="Y96" s="136"/>
      <c r="Z96" s="136">
        <f t="shared" si="7"/>
        <v>0</v>
      </c>
      <c r="AA96" s="136">
        <f t="shared" si="8"/>
        <v>8</v>
      </c>
      <c r="AB96" s="137">
        <f t="shared" si="9"/>
        <v>0</v>
      </c>
      <c r="AC96" s="135">
        <f t="shared" si="10"/>
        <v>0</v>
      </c>
      <c r="AD96" s="135">
        <f t="shared" si="6"/>
        <v>0</v>
      </c>
      <c r="AE96" s="145">
        <f>AE97</f>
        <v>0</v>
      </c>
    </row>
    <row r="97" spans="1:31" s="12" customFormat="1" ht="18" customHeight="1">
      <c r="A97" s="144"/>
      <c r="B97" s="133">
        <v>82</v>
      </c>
      <c r="C97" s="134"/>
      <c r="D97" s="135"/>
      <c r="E97" s="135"/>
      <c r="F97" s="135"/>
      <c r="G97" s="136">
        <f>VLOOKUP($C97,Quali!$B:$N,6,0)</f>
        <v>0</v>
      </c>
      <c r="H97" s="136">
        <f>VLOOKUP($C97,Quali!$B:$N,7,0)</f>
        <v>0</v>
      </c>
      <c r="I97" s="136">
        <f>VLOOKUP($C97,Quali!$B:$N,8,0)</f>
        <v>0</v>
      </c>
      <c r="J97" s="136">
        <f>VLOOKUP($C97,Quali!$B:$N,9,0)</f>
        <v>0</v>
      </c>
      <c r="K97" s="136">
        <f>VLOOKUP($C97,Quali!$B:$N,10,0)</f>
        <v>0</v>
      </c>
      <c r="L97" s="136">
        <f>VLOOKUP($C97,Quali!$B:$N,11,0)</f>
        <v>0</v>
      </c>
      <c r="M97" s="136">
        <f>VLOOKUP($C97,Quali!$B:$N,12,0)</f>
        <v>0</v>
      </c>
      <c r="N97" s="142">
        <f>VLOOKUP($C97,Quali!$B:$N,13,0)</f>
        <v>0</v>
      </c>
      <c r="O97" s="140"/>
      <c r="P97" s="136"/>
      <c r="Q97" s="136"/>
      <c r="R97" s="136"/>
      <c r="S97" s="136"/>
      <c r="T97" s="136"/>
      <c r="U97" s="136"/>
      <c r="V97" s="136"/>
      <c r="W97" s="136"/>
      <c r="X97" s="136"/>
      <c r="Y97" s="136"/>
      <c r="Z97" s="135">
        <f t="shared" si="7"/>
        <v>0</v>
      </c>
      <c r="AA97" s="135">
        <f t="shared" si="8"/>
        <v>8</v>
      </c>
      <c r="AB97" s="137">
        <f t="shared" si="9"/>
        <v>0</v>
      </c>
      <c r="AC97" s="135">
        <f t="shared" si="10"/>
        <v>0</v>
      </c>
      <c r="AD97" s="135">
        <f t="shared" si="6"/>
        <v>0</v>
      </c>
      <c r="AE97" s="147">
        <f>SUM(AD96:AD97)</f>
        <v>0</v>
      </c>
    </row>
    <row r="98" spans="1:31" s="12" customFormat="1" ht="18" customHeight="1">
      <c r="A98" s="144">
        <v>48</v>
      </c>
      <c r="B98" s="133">
        <v>83</v>
      </c>
      <c r="C98" s="134"/>
      <c r="D98" s="135"/>
      <c r="E98" s="135"/>
      <c r="F98" s="135"/>
      <c r="G98" s="136">
        <f>VLOOKUP($C98,Quali!$B:$N,6,0)</f>
        <v>0</v>
      </c>
      <c r="H98" s="136">
        <f>VLOOKUP($C98,Quali!$B:$N,7,0)</f>
        <v>0</v>
      </c>
      <c r="I98" s="136">
        <f>VLOOKUP($C98,Quali!$B:$N,8,0)</f>
        <v>0</v>
      </c>
      <c r="J98" s="136">
        <f>VLOOKUP($C98,Quali!$B:$N,9,0)</f>
        <v>0</v>
      </c>
      <c r="K98" s="136">
        <f>VLOOKUP($C98,Quali!$B:$N,10,0)</f>
        <v>0</v>
      </c>
      <c r="L98" s="136">
        <f>VLOOKUP($C98,Quali!$B:$N,11,0)</f>
        <v>0</v>
      </c>
      <c r="M98" s="136">
        <f>VLOOKUP($C98,Quali!$B:$N,12,0)</f>
        <v>0</v>
      </c>
      <c r="N98" s="142">
        <f>VLOOKUP($C98,Quali!$B:$N,13,0)</f>
        <v>0</v>
      </c>
      <c r="O98" s="140"/>
      <c r="P98" s="136"/>
      <c r="Q98" s="136"/>
      <c r="R98" s="136"/>
      <c r="S98" s="136"/>
      <c r="T98" s="136"/>
      <c r="U98" s="136"/>
      <c r="V98" s="136"/>
      <c r="W98" s="136"/>
      <c r="X98" s="136"/>
      <c r="Y98" s="136"/>
      <c r="Z98" s="136">
        <f t="shared" si="7"/>
        <v>0</v>
      </c>
      <c r="AA98" s="136">
        <f t="shared" si="8"/>
        <v>8</v>
      </c>
      <c r="AB98" s="137">
        <f t="shared" si="9"/>
        <v>0</v>
      </c>
      <c r="AC98" s="135">
        <f t="shared" si="10"/>
        <v>0</v>
      </c>
      <c r="AD98" s="135">
        <f t="shared" si="6"/>
        <v>0</v>
      </c>
      <c r="AE98" s="145">
        <f>AE99</f>
        <v>0</v>
      </c>
    </row>
    <row r="99" spans="1:31" s="12" customFormat="1" ht="18" customHeight="1">
      <c r="A99" s="144"/>
      <c r="B99" s="133">
        <v>84</v>
      </c>
      <c r="C99" s="134"/>
      <c r="D99" s="135"/>
      <c r="E99" s="135"/>
      <c r="F99" s="135"/>
      <c r="G99" s="136">
        <f>VLOOKUP($C99,Quali!$B:$N,6,0)</f>
        <v>0</v>
      </c>
      <c r="H99" s="136">
        <f>VLOOKUP($C99,Quali!$B:$N,7,0)</f>
        <v>0</v>
      </c>
      <c r="I99" s="136">
        <f>VLOOKUP($C99,Quali!$B:$N,8,0)</f>
        <v>0</v>
      </c>
      <c r="J99" s="136">
        <f>VLOOKUP($C99,Quali!$B:$N,9,0)</f>
        <v>0</v>
      </c>
      <c r="K99" s="136">
        <f>VLOOKUP($C99,Quali!$B:$N,10,0)</f>
        <v>0</v>
      </c>
      <c r="L99" s="136">
        <f>VLOOKUP($C99,Quali!$B:$N,11,0)</f>
        <v>0</v>
      </c>
      <c r="M99" s="136">
        <f>VLOOKUP($C99,Quali!$B:$N,12,0)</f>
        <v>0</v>
      </c>
      <c r="N99" s="142">
        <f>VLOOKUP($C99,Quali!$B:$N,13,0)</f>
        <v>0</v>
      </c>
      <c r="O99" s="140"/>
      <c r="P99" s="136"/>
      <c r="Q99" s="136"/>
      <c r="R99" s="136"/>
      <c r="S99" s="136"/>
      <c r="T99" s="136"/>
      <c r="U99" s="136"/>
      <c r="V99" s="136"/>
      <c r="W99" s="136"/>
      <c r="X99" s="136"/>
      <c r="Y99" s="136"/>
      <c r="Z99" s="135">
        <f t="shared" si="7"/>
        <v>0</v>
      </c>
      <c r="AA99" s="135">
        <f t="shared" si="8"/>
        <v>8</v>
      </c>
      <c r="AB99" s="137">
        <f t="shared" si="9"/>
        <v>0</v>
      </c>
      <c r="AC99" s="135">
        <f t="shared" si="10"/>
        <v>0</v>
      </c>
      <c r="AD99" s="135">
        <f t="shared" si="6"/>
        <v>0</v>
      </c>
      <c r="AE99" s="147">
        <f>SUM(AD98:AD99)</f>
        <v>0</v>
      </c>
    </row>
    <row r="100" spans="1:31" s="12" customFormat="1" ht="18" customHeight="1">
      <c r="A100" s="144">
        <v>49</v>
      </c>
      <c r="B100" s="133">
        <v>85</v>
      </c>
      <c r="C100" s="134"/>
      <c r="D100" s="135"/>
      <c r="E100" s="135"/>
      <c r="F100" s="135"/>
      <c r="G100" s="136">
        <f>VLOOKUP($C100,Quali!$B:$N,6,0)</f>
        <v>0</v>
      </c>
      <c r="H100" s="136">
        <f>VLOOKUP($C100,Quali!$B:$N,7,0)</f>
        <v>0</v>
      </c>
      <c r="I100" s="136">
        <f>VLOOKUP($C100,Quali!$B:$N,8,0)</f>
        <v>0</v>
      </c>
      <c r="J100" s="136">
        <f>VLOOKUP($C100,Quali!$B:$N,9,0)</f>
        <v>0</v>
      </c>
      <c r="K100" s="136">
        <f>VLOOKUP($C100,Quali!$B:$N,10,0)</f>
        <v>0</v>
      </c>
      <c r="L100" s="136">
        <f>VLOOKUP($C100,Quali!$B:$N,11,0)</f>
        <v>0</v>
      </c>
      <c r="M100" s="136">
        <f>VLOOKUP($C100,Quali!$B:$N,12,0)</f>
        <v>0</v>
      </c>
      <c r="N100" s="142">
        <f>VLOOKUP($C100,Quali!$B:$N,13,0)</f>
        <v>0</v>
      </c>
      <c r="O100" s="140"/>
      <c r="P100" s="136"/>
      <c r="Q100" s="136"/>
      <c r="R100" s="136"/>
      <c r="S100" s="136"/>
      <c r="T100" s="136"/>
      <c r="U100" s="136"/>
      <c r="V100" s="136"/>
      <c r="W100" s="136"/>
      <c r="X100" s="136"/>
      <c r="Y100" s="136"/>
      <c r="Z100" s="136">
        <f t="shared" si="7"/>
        <v>0</v>
      </c>
      <c r="AA100" s="136">
        <f t="shared" si="8"/>
        <v>8</v>
      </c>
      <c r="AB100" s="137">
        <f t="shared" si="9"/>
        <v>0</v>
      </c>
      <c r="AC100" s="135">
        <f t="shared" si="10"/>
        <v>0</v>
      </c>
      <c r="AD100" s="135">
        <f aca="true" t="shared" si="11" ref="AD100:AD107">Z100+AC100</f>
        <v>0</v>
      </c>
      <c r="AE100" s="145">
        <f>AE101</f>
        <v>0</v>
      </c>
    </row>
    <row r="101" spans="1:31" s="12" customFormat="1" ht="18" customHeight="1">
      <c r="A101" s="144"/>
      <c r="B101" s="133">
        <v>86</v>
      </c>
      <c r="C101" s="134"/>
      <c r="D101" s="135"/>
      <c r="E101" s="135"/>
      <c r="F101" s="135"/>
      <c r="G101" s="136">
        <f>VLOOKUP($C101,Quali!$B:$N,6,0)</f>
        <v>0</v>
      </c>
      <c r="H101" s="136">
        <f>VLOOKUP($C101,Quali!$B:$N,7,0)</f>
        <v>0</v>
      </c>
      <c r="I101" s="136">
        <f>VLOOKUP($C101,Quali!$B:$N,8,0)</f>
        <v>0</v>
      </c>
      <c r="J101" s="136">
        <f>VLOOKUP($C101,Quali!$B:$N,9,0)</f>
        <v>0</v>
      </c>
      <c r="K101" s="136">
        <f>VLOOKUP($C101,Quali!$B:$N,10,0)</f>
        <v>0</v>
      </c>
      <c r="L101" s="136">
        <f>VLOOKUP($C101,Quali!$B:$N,11,0)</f>
        <v>0</v>
      </c>
      <c r="M101" s="136">
        <f>VLOOKUP($C101,Quali!$B:$N,12,0)</f>
        <v>0</v>
      </c>
      <c r="N101" s="142">
        <f>VLOOKUP($C101,Quali!$B:$N,13,0)</f>
        <v>0</v>
      </c>
      <c r="O101" s="140"/>
      <c r="P101" s="136"/>
      <c r="Q101" s="136"/>
      <c r="R101" s="136"/>
      <c r="S101" s="136"/>
      <c r="T101" s="136"/>
      <c r="U101" s="136"/>
      <c r="V101" s="136"/>
      <c r="W101" s="136"/>
      <c r="X101" s="136"/>
      <c r="Y101" s="136"/>
      <c r="Z101" s="135">
        <f t="shared" si="7"/>
        <v>0</v>
      </c>
      <c r="AA101" s="135">
        <f t="shared" si="8"/>
        <v>8</v>
      </c>
      <c r="AB101" s="137">
        <f t="shared" si="9"/>
        <v>0</v>
      </c>
      <c r="AC101" s="135">
        <f t="shared" si="10"/>
        <v>0</v>
      </c>
      <c r="AD101" s="135">
        <f t="shared" si="11"/>
        <v>0</v>
      </c>
      <c r="AE101" s="147">
        <f>SUM(AD100:AD101)</f>
        <v>0</v>
      </c>
    </row>
    <row r="102" spans="1:31" ht="18" customHeight="1">
      <c r="A102" s="144">
        <v>50</v>
      </c>
      <c r="B102" s="133">
        <v>87</v>
      </c>
      <c r="C102" s="138"/>
      <c r="D102" s="135"/>
      <c r="E102" s="135"/>
      <c r="F102" s="135"/>
      <c r="G102" s="136">
        <f>VLOOKUP($C102,Quali!$B:$N,6,0)</f>
        <v>0</v>
      </c>
      <c r="H102" s="136">
        <f>VLOOKUP($C102,Quali!$B:$N,7,0)</f>
        <v>0</v>
      </c>
      <c r="I102" s="136">
        <f>VLOOKUP($C102,Quali!$B:$N,8,0)</f>
        <v>0</v>
      </c>
      <c r="J102" s="136">
        <f>VLOOKUP($C102,Quali!$B:$N,9,0)</f>
        <v>0</v>
      </c>
      <c r="K102" s="136">
        <f>VLOOKUP($C102,Quali!$B:$N,10,0)</f>
        <v>0</v>
      </c>
      <c r="L102" s="136">
        <f>VLOOKUP($C102,Quali!$B:$N,11,0)</f>
        <v>0</v>
      </c>
      <c r="M102" s="136">
        <f>VLOOKUP($C102,Quali!$B:$N,12,0)</f>
        <v>0</v>
      </c>
      <c r="N102" s="142">
        <f>VLOOKUP($C102,Quali!$B:$N,13,0)</f>
        <v>0</v>
      </c>
      <c r="O102" s="140"/>
      <c r="P102" s="136"/>
      <c r="Q102" s="136"/>
      <c r="R102" s="136"/>
      <c r="S102" s="136"/>
      <c r="T102" s="136"/>
      <c r="U102" s="136"/>
      <c r="V102" s="136"/>
      <c r="W102" s="136"/>
      <c r="X102" s="136"/>
      <c r="Y102" s="136"/>
      <c r="Z102" s="136">
        <f t="shared" si="7"/>
        <v>0</v>
      </c>
      <c r="AA102" s="136">
        <f t="shared" si="8"/>
        <v>8</v>
      </c>
      <c r="AB102" s="137">
        <f t="shared" si="9"/>
        <v>0</v>
      </c>
      <c r="AC102" s="135">
        <f t="shared" si="10"/>
        <v>0</v>
      </c>
      <c r="AD102" s="135">
        <f t="shared" si="11"/>
        <v>0</v>
      </c>
      <c r="AE102" s="145">
        <f>AE103</f>
        <v>0</v>
      </c>
    </row>
    <row r="103" spans="1:31" ht="18" customHeight="1">
      <c r="A103" s="144"/>
      <c r="B103" s="133">
        <v>88</v>
      </c>
      <c r="C103" s="134"/>
      <c r="D103" s="135"/>
      <c r="E103" s="135"/>
      <c r="F103" s="135"/>
      <c r="G103" s="136">
        <f>VLOOKUP($C103,Quali!$B:$N,6,0)</f>
        <v>0</v>
      </c>
      <c r="H103" s="136">
        <f>VLOOKUP($C103,Quali!$B:$N,7,0)</f>
        <v>0</v>
      </c>
      <c r="I103" s="136">
        <f>VLOOKUP($C103,Quali!$B:$N,8,0)</f>
        <v>0</v>
      </c>
      <c r="J103" s="136">
        <f>VLOOKUP($C103,Quali!$B:$N,9,0)</f>
        <v>0</v>
      </c>
      <c r="K103" s="136">
        <f>VLOOKUP($C103,Quali!$B:$N,10,0)</f>
        <v>0</v>
      </c>
      <c r="L103" s="136">
        <f>VLOOKUP($C103,Quali!$B:$N,11,0)</f>
        <v>0</v>
      </c>
      <c r="M103" s="136">
        <f>VLOOKUP($C103,Quali!$B:$N,12,0)</f>
        <v>0</v>
      </c>
      <c r="N103" s="142">
        <f>VLOOKUP($C103,Quali!$B:$N,13,0)</f>
        <v>0</v>
      </c>
      <c r="O103" s="140"/>
      <c r="P103" s="136"/>
      <c r="Q103" s="136"/>
      <c r="R103" s="136"/>
      <c r="S103" s="136"/>
      <c r="T103" s="136"/>
      <c r="U103" s="136"/>
      <c r="V103" s="136"/>
      <c r="W103" s="136"/>
      <c r="X103" s="136"/>
      <c r="Y103" s="136"/>
      <c r="Z103" s="135">
        <f t="shared" si="7"/>
        <v>0</v>
      </c>
      <c r="AA103" s="135">
        <f t="shared" si="8"/>
        <v>8</v>
      </c>
      <c r="AB103" s="137">
        <f t="shared" si="9"/>
        <v>0</v>
      </c>
      <c r="AC103" s="135">
        <f t="shared" si="10"/>
        <v>0</v>
      </c>
      <c r="AD103" s="135">
        <f t="shared" si="11"/>
        <v>0</v>
      </c>
      <c r="AE103" s="147">
        <f>SUM(AD102:AD103)</f>
        <v>0</v>
      </c>
    </row>
    <row r="104" spans="1:31" ht="18" customHeight="1">
      <c r="A104" s="144">
        <v>51</v>
      </c>
      <c r="B104" s="133">
        <v>89</v>
      </c>
      <c r="C104" s="134"/>
      <c r="D104" s="135"/>
      <c r="E104" s="135"/>
      <c r="F104" s="135"/>
      <c r="G104" s="136">
        <f>VLOOKUP($C104,Quali!$B:$N,6,0)</f>
        <v>0</v>
      </c>
      <c r="H104" s="136">
        <f>VLOOKUP($C104,Quali!$B:$N,7,0)</f>
        <v>0</v>
      </c>
      <c r="I104" s="136">
        <f>VLOOKUP($C104,Quali!$B:$N,8,0)</f>
        <v>0</v>
      </c>
      <c r="J104" s="136">
        <f>VLOOKUP($C104,Quali!$B:$N,9,0)</f>
        <v>0</v>
      </c>
      <c r="K104" s="136">
        <f>VLOOKUP($C104,Quali!$B:$N,10,0)</f>
        <v>0</v>
      </c>
      <c r="L104" s="136">
        <f>VLOOKUP($C104,Quali!$B:$N,11,0)</f>
        <v>0</v>
      </c>
      <c r="M104" s="136">
        <f>VLOOKUP($C104,Quali!$B:$N,12,0)</f>
        <v>0</v>
      </c>
      <c r="N104" s="142">
        <f>VLOOKUP($C104,Quali!$B:$N,13,0)</f>
        <v>0</v>
      </c>
      <c r="O104" s="140"/>
      <c r="P104" s="136"/>
      <c r="Q104" s="136"/>
      <c r="R104" s="136"/>
      <c r="S104" s="136"/>
      <c r="T104" s="136"/>
      <c r="U104" s="136"/>
      <c r="V104" s="136"/>
      <c r="W104" s="136"/>
      <c r="X104" s="136"/>
      <c r="Y104" s="136"/>
      <c r="Z104" s="136">
        <f t="shared" si="7"/>
        <v>0</v>
      </c>
      <c r="AA104" s="136">
        <f t="shared" si="8"/>
        <v>8</v>
      </c>
      <c r="AB104" s="137">
        <f t="shared" si="9"/>
        <v>0</v>
      </c>
      <c r="AC104" s="135">
        <f t="shared" si="10"/>
        <v>0</v>
      </c>
      <c r="AD104" s="135">
        <f t="shared" si="11"/>
        <v>0</v>
      </c>
      <c r="AE104" s="145">
        <f>AE105</f>
        <v>0</v>
      </c>
    </row>
    <row r="105" spans="1:31" ht="18" customHeight="1">
      <c r="A105" s="144"/>
      <c r="B105" s="133">
        <v>90</v>
      </c>
      <c r="C105" s="134"/>
      <c r="D105" s="135"/>
      <c r="E105" s="135"/>
      <c r="F105" s="135"/>
      <c r="G105" s="136">
        <f>VLOOKUP($C105,Quali!$B:$N,6,0)</f>
        <v>0</v>
      </c>
      <c r="H105" s="136">
        <f>VLOOKUP($C105,Quali!$B:$N,7,0)</f>
        <v>0</v>
      </c>
      <c r="I105" s="136">
        <f>VLOOKUP($C105,Quali!$B:$N,8,0)</f>
        <v>0</v>
      </c>
      <c r="J105" s="136">
        <f>VLOOKUP($C105,Quali!$B:$N,9,0)</f>
        <v>0</v>
      </c>
      <c r="K105" s="136">
        <f>VLOOKUP($C105,Quali!$B:$N,10,0)</f>
        <v>0</v>
      </c>
      <c r="L105" s="136">
        <f>VLOOKUP($C105,Quali!$B:$N,11,0)</f>
        <v>0</v>
      </c>
      <c r="M105" s="136">
        <f>VLOOKUP($C105,Quali!$B:$N,12,0)</f>
        <v>0</v>
      </c>
      <c r="N105" s="142">
        <f>VLOOKUP($C105,Quali!$B:$N,13,0)</f>
        <v>0</v>
      </c>
      <c r="O105" s="140"/>
      <c r="P105" s="136"/>
      <c r="Q105" s="136"/>
      <c r="R105" s="136"/>
      <c r="S105" s="136"/>
      <c r="T105" s="136"/>
      <c r="U105" s="136"/>
      <c r="V105" s="136"/>
      <c r="W105" s="136"/>
      <c r="X105" s="136"/>
      <c r="Y105" s="136"/>
      <c r="Z105" s="135">
        <f t="shared" si="7"/>
        <v>0</v>
      </c>
      <c r="AA105" s="135">
        <f t="shared" si="8"/>
        <v>8</v>
      </c>
      <c r="AB105" s="137">
        <f t="shared" si="9"/>
        <v>0</v>
      </c>
      <c r="AC105" s="135">
        <f t="shared" si="10"/>
        <v>0</v>
      </c>
      <c r="AD105" s="135">
        <f t="shared" si="11"/>
        <v>0</v>
      </c>
      <c r="AE105" s="147">
        <f>SUM(AD104:AD105)</f>
        <v>0</v>
      </c>
    </row>
    <row r="106" spans="1:31" s="12" customFormat="1" ht="18" customHeight="1">
      <c r="A106" s="144">
        <v>52</v>
      </c>
      <c r="B106" s="133">
        <v>91</v>
      </c>
      <c r="C106" s="134"/>
      <c r="D106" s="135"/>
      <c r="E106" s="135"/>
      <c r="F106" s="135"/>
      <c r="G106" s="136">
        <f>VLOOKUP($C106,Quali!$B:$N,6,0)</f>
        <v>0</v>
      </c>
      <c r="H106" s="136">
        <f>VLOOKUP($C106,Quali!$B:$N,7,0)</f>
        <v>0</v>
      </c>
      <c r="I106" s="136">
        <f>VLOOKUP($C106,Quali!$B:$N,8,0)</f>
        <v>0</v>
      </c>
      <c r="J106" s="136">
        <f>VLOOKUP($C106,Quali!$B:$N,9,0)</f>
        <v>0</v>
      </c>
      <c r="K106" s="136">
        <f>VLOOKUP($C106,Quali!$B:$N,10,0)</f>
        <v>0</v>
      </c>
      <c r="L106" s="136">
        <f>VLOOKUP($C106,Quali!$B:$N,11,0)</f>
        <v>0</v>
      </c>
      <c r="M106" s="136">
        <f>VLOOKUP($C106,Quali!$B:$N,12,0)</f>
        <v>0</v>
      </c>
      <c r="N106" s="142">
        <f>VLOOKUP($C106,Quali!$B:$N,13,0)</f>
        <v>0</v>
      </c>
      <c r="O106" s="140"/>
      <c r="P106" s="136"/>
      <c r="Q106" s="136"/>
      <c r="R106" s="136"/>
      <c r="S106" s="136"/>
      <c r="T106" s="136"/>
      <c r="U106" s="136"/>
      <c r="V106" s="136"/>
      <c r="W106" s="136"/>
      <c r="X106" s="136"/>
      <c r="Y106" s="136"/>
      <c r="Z106" s="136">
        <f t="shared" si="7"/>
        <v>0</v>
      </c>
      <c r="AA106" s="136">
        <f t="shared" si="8"/>
        <v>8</v>
      </c>
      <c r="AB106" s="137">
        <f t="shared" si="9"/>
        <v>0</v>
      </c>
      <c r="AC106" s="135">
        <f t="shared" si="10"/>
        <v>0</v>
      </c>
      <c r="AD106" s="135">
        <f t="shared" si="11"/>
        <v>0</v>
      </c>
      <c r="AE106" s="145">
        <f>AE107</f>
        <v>0</v>
      </c>
    </row>
    <row r="107" spans="1:31" s="12" customFormat="1" ht="18" customHeight="1">
      <c r="A107" s="144"/>
      <c r="B107" s="133">
        <v>92</v>
      </c>
      <c r="C107" s="134"/>
      <c r="D107" s="135"/>
      <c r="E107" s="135"/>
      <c r="F107" s="135"/>
      <c r="G107" s="136">
        <f>VLOOKUP($C107,Quali!$B:$N,6,0)</f>
        <v>0</v>
      </c>
      <c r="H107" s="136">
        <f>VLOOKUP($C107,Quali!$B:$N,7,0)</f>
        <v>0</v>
      </c>
      <c r="I107" s="136">
        <f>VLOOKUP($C107,Quali!$B:$N,8,0)</f>
        <v>0</v>
      </c>
      <c r="J107" s="136">
        <f>VLOOKUP($C107,Quali!$B:$N,9,0)</f>
        <v>0</v>
      </c>
      <c r="K107" s="136">
        <f>VLOOKUP($C107,Quali!$B:$N,10,0)</f>
        <v>0</v>
      </c>
      <c r="L107" s="136">
        <f>VLOOKUP($C107,Quali!$B:$N,11,0)</f>
        <v>0</v>
      </c>
      <c r="M107" s="136">
        <f>VLOOKUP($C107,Quali!$B:$N,12,0)</f>
        <v>0</v>
      </c>
      <c r="N107" s="142">
        <f>VLOOKUP($C107,Quali!$B:$N,13,0)</f>
        <v>0</v>
      </c>
      <c r="O107" s="140"/>
      <c r="P107" s="136"/>
      <c r="Q107" s="136"/>
      <c r="R107" s="136"/>
      <c r="S107" s="136"/>
      <c r="T107" s="136"/>
      <c r="U107" s="136"/>
      <c r="V107" s="136"/>
      <c r="W107" s="136"/>
      <c r="X107" s="136"/>
      <c r="Y107" s="136"/>
      <c r="Z107" s="135">
        <f t="shared" si="7"/>
        <v>0</v>
      </c>
      <c r="AA107" s="135">
        <f t="shared" si="8"/>
        <v>8</v>
      </c>
      <c r="AB107" s="137">
        <f t="shared" si="9"/>
        <v>0</v>
      </c>
      <c r="AC107" s="135">
        <f t="shared" si="10"/>
        <v>0</v>
      </c>
      <c r="AD107" s="135">
        <f t="shared" si="11"/>
        <v>0</v>
      </c>
      <c r="AE107" s="147">
        <f>SUM(AD106:AD107)</f>
        <v>0</v>
      </c>
    </row>
    <row r="108" spans="1:31" ht="15.75">
      <c r="A108" s="144">
        <v>53</v>
      </c>
      <c r="B108" s="158"/>
      <c r="C108" s="159"/>
      <c r="D108" s="160"/>
      <c r="E108" s="160"/>
      <c r="F108" s="160"/>
      <c r="G108" s="136">
        <f>VLOOKUP($C108,Quali!$B:$N,6,0)</f>
        <v>0</v>
      </c>
      <c r="H108" s="136">
        <f>VLOOKUP($C108,Quali!$B:$N,7,0)</f>
        <v>0</v>
      </c>
      <c r="I108" s="136">
        <f>VLOOKUP($C108,Quali!$B:$N,8,0)</f>
        <v>0</v>
      </c>
      <c r="J108" s="136">
        <f>VLOOKUP($C108,Quali!$B:$N,9,0)</f>
        <v>0</v>
      </c>
      <c r="K108" s="136">
        <f>VLOOKUP($C108,Quali!$B:$N,10,0)</f>
        <v>0</v>
      </c>
      <c r="L108" s="136">
        <f>VLOOKUP($C108,Quali!$B:$N,11,0)</f>
        <v>0</v>
      </c>
      <c r="M108" s="136">
        <f>VLOOKUP($C108,Quali!$B:$N,12,0)</f>
        <v>0</v>
      </c>
      <c r="N108" s="142">
        <f>VLOOKUP($C108,Quali!$B:$N,13,0)</f>
        <v>0</v>
      </c>
      <c r="O108" s="163"/>
      <c r="P108" s="161"/>
      <c r="Q108" s="161"/>
      <c r="R108" s="161"/>
      <c r="S108" s="161"/>
      <c r="T108" s="161"/>
      <c r="U108" s="161"/>
      <c r="V108" s="161"/>
      <c r="W108" s="161"/>
      <c r="X108" s="161"/>
      <c r="Y108" s="161"/>
      <c r="Z108" s="161">
        <f aca="true" t="shared" si="12" ref="Z108:Z113">SUM(G108:Y108)</f>
        <v>0</v>
      </c>
      <c r="AA108" s="161">
        <f aca="true" t="shared" si="13" ref="AA108:AA113">COUNT(G108:Y108)</f>
        <v>8</v>
      </c>
      <c r="AB108" s="166">
        <f aca="true" t="shared" si="14" ref="AB108:AB113">Z108/AA108</f>
        <v>0</v>
      </c>
      <c r="AC108" s="135">
        <f t="shared" si="10"/>
        <v>0</v>
      </c>
      <c r="AD108" s="160">
        <f aca="true" t="shared" si="15" ref="AD108:AD113">Z108+AC108</f>
        <v>0</v>
      </c>
      <c r="AE108" s="167">
        <f>AE109</f>
        <v>0</v>
      </c>
    </row>
    <row r="109" spans="1:31" ht="15.75">
      <c r="A109" s="144"/>
      <c r="B109" s="133"/>
      <c r="C109" s="134"/>
      <c r="D109" s="135"/>
      <c r="E109" s="135"/>
      <c r="F109" s="135"/>
      <c r="G109" s="136">
        <f>VLOOKUP($C109,Quali!$B:$N,6,0)</f>
        <v>0</v>
      </c>
      <c r="H109" s="136">
        <f>VLOOKUP($C109,Quali!$B:$N,7,0)</f>
        <v>0</v>
      </c>
      <c r="I109" s="136">
        <f>VLOOKUP($C109,Quali!$B:$N,8,0)</f>
        <v>0</v>
      </c>
      <c r="J109" s="136">
        <f>VLOOKUP($C109,Quali!$B:$N,9,0)</f>
        <v>0</v>
      </c>
      <c r="K109" s="136">
        <f>VLOOKUP($C109,Quali!$B:$N,10,0)</f>
        <v>0</v>
      </c>
      <c r="L109" s="136">
        <f>VLOOKUP($C109,Quali!$B:$N,11,0)</f>
        <v>0</v>
      </c>
      <c r="M109" s="136">
        <f>VLOOKUP($C109,Quali!$B:$N,12,0)</f>
        <v>0</v>
      </c>
      <c r="N109" s="142">
        <f>VLOOKUP($C109,Quali!$B:$N,13,0)</f>
        <v>0</v>
      </c>
      <c r="O109" s="140"/>
      <c r="P109" s="136"/>
      <c r="Q109" s="136"/>
      <c r="R109" s="136"/>
      <c r="S109" s="136"/>
      <c r="T109" s="136"/>
      <c r="U109" s="136"/>
      <c r="V109" s="136"/>
      <c r="W109" s="136"/>
      <c r="X109" s="136"/>
      <c r="Y109" s="136"/>
      <c r="Z109" s="135">
        <f t="shared" si="12"/>
        <v>0</v>
      </c>
      <c r="AA109" s="135">
        <f t="shared" si="13"/>
        <v>8</v>
      </c>
      <c r="AB109" s="137">
        <f t="shared" si="14"/>
        <v>0</v>
      </c>
      <c r="AC109" s="135">
        <f t="shared" si="10"/>
        <v>0</v>
      </c>
      <c r="AD109" s="135">
        <f t="shared" si="15"/>
        <v>0</v>
      </c>
      <c r="AE109" s="147">
        <f>SUM(AD108:AD109)</f>
        <v>0</v>
      </c>
    </row>
    <row r="110" spans="1:31" ht="15.75">
      <c r="A110" s="144">
        <v>54</v>
      </c>
      <c r="B110" s="158"/>
      <c r="C110" s="159"/>
      <c r="D110" s="160"/>
      <c r="E110" s="160"/>
      <c r="F110" s="160"/>
      <c r="G110" s="136">
        <f>VLOOKUP($C110,Quali!$B:$N,6,0)</f>
        <v>0</v>
      </c>
      <c r="H110" s="136">
        <f>VLOOKUP($C110,Quali!$B:$N,7,0)</f>
        <v>0</v>
      </c>
      <c r="I110" s="136">
        <f>VLOOKUP($C110,Quali!$B:$N,8,0)</f>
        <v>0</v>
      </c>
      <c r="J110" s="136">
        <f>VLOOKUP($C110,Quali!$B:$N,9,0)</f>
        <v>0</v>
      </c>
      <c r="K110" s="136">
        <f>VLOOKUP($C110,Quali!$B:$N,10,0)</f>
        <v>0</v>
      </c>
      <c r="L110" s="136">
        <f>VLOOKUP($C110,Quali!$B:$N,11,0)</f>
        <v>0</v>
      </c>
      <c r="M110" s="136">
        <f>VLOOKUP($C110,Quali!$B:$N,12,0)</f>
        <v>0</v>
      </c>
      <c r="N110" s="142">
        <f>VLOOKUP($C110,Quali!$B:$N,13,0)</f>
        <v>0</v>
      </c>
      <c r="O110" s="163"/>
      <c r="P110" s="161"/>
      <c r="Q110" s="161"/>
      <c r="R110" s="161"/>
      <c r="S110" s="161"/>
      <c r="T110" s="161"/>
      <c r="U110" s="161"/>
      <c r="V110" s="161"/>
      <c r="W110" s="161"/>
      <c r="X110" s="161"/>
      <c r="Y110" s="161"/>
      <c r="Z110" s="161">
        <f t="shared" si="12"/>
        <v>0</v>
      </c>
      <c r="AA110" s="161">
        <f t="shared" si="13"/>
        <v>8</v>
      </c>
      <c r="AB110" s="166">
        <f t="shared" si="14"/>
        <v>0</v>
      </c>
      <c r="AC110" s="135">
        <f t="shared" si="10"/>
        <v>0</v>
      </c>
      <c r="AD110" s="160">
        <f t="shared" si="15"/>
        <v>0</v>
      </c>
      <c r="AE110" s="167">
        <f>AE111</f>
        <v>0</v>
      </c>
    </row>
    <row r="111" spans="1:31" ht="15.75">
      <c r="A111" s="144"/>
      <c r="B111" s="133"/>
      <c r="C111" s="134"/>
      <c r="D111" s="135"/>
      <c r="E111" s="135"/>
      <c r="F111" s="135"/>
      <c r="G111" s="136">
        <f>VLOOKUP($C111,Quali!$B:$N,6,0)</f>
        <v>0</v>
      </c>
      <c r="H111" s="136">
        <f>VLOOKUP($C111,Quali!$B:$N,7,0)</f>
        <v>0</v>
      </c>
      <c r="I111" s="136">
        <f>VLOOKUP($C111,Quali!$B:$N,8,0)</f>
        <v>0</v>
      </c>
      <c r="J111" s="136">
        <f>VLOOKUP($C111,Quali!$B:$N,9,0)</f>
        <v>0</v>
      </c>
      <c r="K111" s="136">
        <f>VLOOKUP($C111,Quali!$B:$N,10,0)</f>
        <v>0</v>
      </c>
      <c r="L111" s="136">
        <f>VLOOKUP($C111,Quali!$B:$N,11,0)</f>
        <v>0</v>
      </c>
      <c r="M111" s="136">
        <f>VLOOKUP($C111,Quali!$B:$N,12,0)</f>
        <v>0</v>
      </c>
      <c r="N111" s="142">
        <f>VLOOKUP($C111,Quali!$B:$N,13,0)</f>
        <v>0</v>
      </c>
      <c r="O111" s="140"/>
      <c r="P111" s="136"/>
      <c r="Q111" s="136"/>
      <c r="R111" s="136"/>
      <c r="S111" s="136"/>
      <c r="T111" s="136"/>
      <c r="U111" s="136"/>
      <c r="V111" s="136"/>
      <c r="W111" s="136"/>
      <c r="X111" s="136"/>
      <c r="Y111" s="136"/>
      <c r="Z111" s="135">
        <f t="shared" si="12"/>
        <v>0</v>
      </c>
      <c r="AA111" s="135">
        <f t="shared" si="13"/>
        <v>8</v>
      </c>
      <c r="AB111" s="137">
        <f t="shared" si="14"/>
        <v>0</v>
      </c>
      <c r="AC111" s="135">
        <f t="shared" si="10"/>
        <v>0</v>
      </c>
      <c r="AD111" s="135">
        <f t="shared" si="15"/>
        <v>0</v>
      </c>
      <c r="AE111" s="147">
        <f>SUM(AD110:AD111)</f>
        <v>0</v>
      </c>
    </row>
    <row r="112" spans="1:31" ht="15.75">
      <c r="A112" s="144">
        <v>55</v>
      </c>
      <c r="B112" s="158"/>
      <c r="C112" s="159"/>
      <c r="D112" s="160"/>
      <c r="E112" s="160"/>
      <c r="F112" s="160"/>
      <c r="G112" s="136">
        <f>VLOOKUP($C112,Quali!$B:$N,6,0)</f>
        <v>0</v>
      </c>
      <c r="H112" s="136">
        <f>VLOOKUP($C112,Quali!$B:$N,7,0)</f>
        <v>0</v>
      </c>
      <c r="I112" s="136">
        <f>VLOOKUP($C112,Quali!$B:$N,8,0)</f>
        <v>0</v>
      </c>
      <c r="J112" s="136">
        <f>VLOOKUP($C112,Quali!$B:$N,9,0)</f>
        <v>0</v>
      </c>
      <c r="K112" s="136">
        <f>VLOOKUP($C112,Quali!$B:$N,10,0)</f>
        <v>0</v>
      </c>
      <c r="L112" s="136">
        <f>VLOOKUP($C112,Quali!$B:$N,11,0)</f>
        <v>0</v>
      </c>
      <c r="M112" s="136">
        <f>VLOOKUP($C112,Quali!$B:$N,12,0)</f>
        <v>0</v>
      </c>
      <c r="N112" s="142">
        <f>VLOOKUP($C112,Quali!$B:$N,13,0)</f>
        <v>0</v>
      </c>
      <c r="O112" s="163"/>
      <c r="P112" s="161"/>
      <c r="Q112" s="161"/>
      <c r="R112" s="161"/>
      <c r="S112" s="161"/>
      <c r="T112" s="161"/>
      <c r="U112" s="161"/>
      <c r="V112" s="161"/>
      <c r="W112" s="161"/>
      <c r="X112" s="161"/>
      <c r="Y112" s="161"/>
      <c r="Z112" s="161">
        <f t="shared" si="12"/>
        <v>0</v>
      </c>
      <c r="AA112" s="161">
        <f t="shared" si="13"/>
        <v>8</v>
      </c>
      <c r="AB112" s="166">
        <f t="shared" si="14"/>
        <v>0</v>
      </c>
      <c r="AC112" s="135">
        <f t="shared" si="10"/>
        <v>0</v>
      </c>
      <c r="AD112" s="160">
        <f t="shared" si="15"/>
        <v>0</v>
      </c>
      <c r="AE112" s="167">
        <f>AE113</f>
        <v>0</v>
      </c>
    </row>
    <row r="113" spans="1:31" ht="16.5" thickBot="1">
      <c r="A113" s="148"/>
      <c r="B113" s="149"/>
      <c r="C113" s="150"/>
      <c r="D113" s="151"/>
      <c r="E113" s="151"/>
      <c r="F113" s="151"/>
      <c r="G113" s="152">
        <f>VLOOKUP($C113,Quali!$B:$N,6,0)</f>
        <v>0</v>
      </c>
      <c r="H113" s="152">
        <f>VLOOKUP($C113,Quali!$B:$N,7,0)</f>
        <v>0</v>
      </c>
      <c r="I113" s="152">
        <f>VLOOKUP($C113,Quali!$B:$N,8,0)</f>
        <v>0</v>
      </c>
      <c r="J113" s="152">
        <f>VLOOKUP($C113,Quali!$B:$N,9,0)</f>
        <v>0</v>
      </c>
      <c r="K113" s="152">
        <f>VLOOKUP($C113,Quali!$B:$N,10,0)</f>
        <v>0</v>
      </c>
      <c r="L113" s="152">
        <f>VLOOKUP($C113,Quali!$B:$N,11,0)</f>
        <v>0</v>
      </c>
      <c r="M113" s="152">
        <f>VLOOKUP($C113,Quali!$B:$N,12,0)</f>
        <v>0</v>
      </c>
      <c r="N113" s="153">
        <f>VLOOKUP($C113,Quali!$B:$N,13,0)</f>
        <v>0</v>
      </c>
      <c r="O113" s="154"/>
      <c r="P113" s="152"/>
      <c r="Q113" s="152"/>
      <c r="R113" s="152"/>
      <c r="S113" s="152"/>
      <c r="T113" s="152"/>
      <c r="U113" s="152"/>
      <c r="V113" s="152"/>
      <c r="W113" s="152"/>
      <c r="X113" s="152"/>
      <c r="Y113" s="152"/>
      <c r="Z113" s="151">
        <f t="shared" si="12"/>
        <v>0</v>
      </c>
      <c r="AA113" s="151">
        <f t="shared" si="13"/>
        <v>8</v>
      </c>
      <c r="AB113" s="155">
        <f t="shared" si="14"/>
        <v>0</v>
      </c>
      <c r="AC113" s="151">
        <f t="shared" si="10"/>
        <v>0</v>
      </c>
      <c r="AD113" s="151">
        <f t="shared" si="15"/>
        <v>0</v>
      </c>
      <c r="AE113" s="156">
        <f>SUM(AD112:AD113)</f>
        <v>0</v>
      </c>
    </row>
  </sheetData>
  <conditionalFormatting sqref="Z92:AA92 Z94:AA94 Z96:AA96 Z98:AA98 Z100:AA100 Z102:AA102 Z104:AA104 Z106:AA106 Z36:AA36 Z38:AA38 Z40:AA40 Z42:AA42 Z44:AA44 Z46:AA46 Z48:AA48 Z50:AA50 Z52:AA52 Z54:AA54 Z56:AA56 Z58:AA58 Z60:AA60 Z62:AA62 Z64:AA64 Z66:AA66 Z68:AA68 Z70:AA70 Z72:AA72 Z74:AA74 Z76:AA76 Z78:AA78 Z80:AA80 Z82:AA82 Z84:AA84 Z86:AA86 Z88:AA88 Z90:AA90 Z108:AA108 Z110:AA110 Z112:AA112">
    <cfRule type="cellIs" priority="1" dxfId="0" operator="greaterThanOrEqual" stopIfTrue="1">
      <formula>1200</formula>
    </cfRule>
  </conditionalFormatting>
  <conditionalFormatting sqref="Z20:AA35">
    <cfRule type="cellIs" priority="2" dxfId="0" operator="greaterThanOrEqual" stopIfTrue="1">
      <formula>2000</formula>
    </cfRule>
  </conditionalFormatting>
  <conditionalFormatting sqref="Z8:AA19">
    <cfRule type="cellIs" priority="3" dxfId="0" operator="greaterThanOrEqual" stopIfTrue="1">
      <formula>2600</formula>
    </cfRule>
  </conditionalFormatting>
  <conditionalFormatting sqref="Z4:AA7">
    <cfRule type="cellIs" priority="4" dxfId="0" operator="greaterThanOrEqual" stopIfTrue="1">
      <formula>2800</formula>
    </cfRule>
  </conditionalFormatting>
  <conditionalFormatting sqref="G4:Y113">
    <cfRule type="cellIs" priority="5" dxfId="1" operator="greaterThanOrEqual" stopIfTrue="1">
      <formula>200</formula>
    </cfRule>
  </conditionalFormatting>
  <printOptions/>
  <pageMargins left="0.4330708661417323" right="0.4724409448818898" top="0.5118110236220472" bottom="0.48" header="0.5118110236220472" footer="0.31"/>
  <pageSetup fitToHeight="0" fitToWidth="1" horizontalDpi="300" verticalDpi="300" orientation="landscape" paperSize="9" scale="53" r:id="rId1"/>
  <headerFooter alignWithMargins="0">
    <oddFooter>&amp;CSeite &amp;P</oddFooter>
  </headerFooter>
  <rowBreaks count="2" manualBreakCount="2">
    <brk id="35" max="30" man="1"/>
    <brk id="67" max="30" man="1"/>
  </rowBreaks>
</worksheet>
</file>

<file path=xl/worksheets/sheet10.xml><?xml version="1.0" encoding="utf-8"?>
<worksheet xmlns="http://schemas.openxmlformats.org/spreadsheetml/2006/main" xmlns:r="http://schemas.openxmlformats.org/officeDocument/2006/relationships">
  <sheetPr>
    <pageSetUpPr fitToPage="1"/>
  </sheetPr>
  <dimension ref="A1:Z32"/>
  <sheetViews>
    <sheetView zoomScale="75" zoomScaleNormal="75" workbookViewId="0" topLeftCell="A1">
      <selection activeCell="A1" sqref="A1"/>
    </sheetView>
  </sheetViews>
  <sheetFormatPr defaultColWidth="11.421875" defaultRowHeight="12.75"/>
  <cols>
    <col min="1" max="1" width="24.7109375" style="0" bestFit="1" customWidth="1"/>
    <col min="2" max="2" width="5.00390625" style="0" customWidth="1"/>
    <col min="3" max="3" width="5.8515625" style="7" customWidth="1"/>
    <col min="4" max="4" width="9.421875" style="0" customWidth="1"/>
    <col min="5" max="6" width="8.00390625" style="0" customWidth="1"/>
    <col min="7" max="7" width="9.421875" style="0" customWidth="1"/>
    <col min="8" max="9" width="8.00390625" style="0" customWidth="1"/>
    <col min="10" max="10" width="9.421875" style="0" customWidth="1"/>
    <col min="11" max="12" width="8.00390625" style="0" customWidth="1"/>
    <col min="13" max="13" width="9.421875" style="0" customWidth="1"/>
    <col min="14" max="15" width="8.00390625" style="0" customWidth="1"/>
    <col min="16" max="16" width="9.421875" style="0" customWidth="1"/>
    <col min="17" max="18" width="8.00390625" style="0" customWidth="1"/>
    <col min="19" max="19" width="9.421875" style="0" customWidth="1"/>
    <col min="20" max="21" width="8.00390625" style="0" customWidth="1"/>
    <col min="22" max="22" width="9.421875" style="0" customWidth="1"/>
    <col min="23" max="24" width="8.00390625" style="0" customWidth="1"/>
    <col min="25" max="25" width="9.00390625" style="0" customWidth="1"/>
    <col min="26" max="26" width="6.00390625" style="0" customWidth="1"/>
  </cols>
  <sheetData>
    <row r="1" spans="1:26" ht="36" customHeight="1">
      <c r="A1" s="128"/>
      <c r="B1" s="128"/>
      <c r="C1" s="128"/>
      <c r="D1" s="128"/>
      <c r="G1" s="128"/>
      <c r="H1" s="128"/>
      <c r="I1" s="128"/>
      <c r="J1" s="128"/>
      <c r="K1" s="128" t="s">
        <v>171</v>
      </c>
      <c r="L1" s="128"/>
      <c r="M1" s="128"/>
      <c r="N1" s="128"/>
      <c r="O1" s="128"/>
      <c r="P1" s="128"/>
      <c r="Q1" s="128"/>
      <c r="R1" s="128"/>
      <c r="S1" s="128"/>
      <c r="T1" s="128"/>
      <c r="U1" s="128"/>
      <c r="V1" s="128"/>
      <c r="W1" s="128"/>
      <c r="X1" s="128"/>
      <c r="Y1" s="128"/>
      <c r="Z1" s="128"/>
    </row>
    <row r="2" spans="1:26" ht="39.75" customHeight="1">
      <c r="A2" s="128"/>
      <c r="B2" s="128"/>
      <c r="C2" s="128"/>
      <c r="D2" s="128"/>
      <c r="E2" s="128"/>
      <c r="F2" s="128"/>
      <c r="G2" s="128"/>
      <c r="H2" s="128"/>
      <c r="I2" s="128"/>
      <c r="J2" s="128"/>
      <c r="K2" s="128" t="s">
        <v>84</v>
      </c>
      <c r="L2" s="128"/>
      <c r="M2" s="128"/>
      <c r="N2" s="128"/>
      <c r="O2" s="128"/>
      <c r="P2" s="128"/>
      <c r="Q2" s="128"/>
      <c r="R2" s="128"/>
      <c r="S2" s="128"/>
      <c r="T2" s="128"/>
      <c r="U2" s="128"/>
      <c r="V2" s="128"/>
      <c r="W2" s="128"/>
      <c r="X2" s="128"/>
      <c r="Y2" s="128"/>
      <c r="Z2" s="128"/>
    </row>
    <row r="3" spans="1:25" s="12" customFormat="1" ht="24">
      <c r="A3" s="237" t="s">
        <v>1</v>
      </c>
      <c r="B3" s="237" t="s">
        <v>2</v>
      </c>
      <c r="C3" s="238" t="s">
        <v>3</v>
      </c>
      <c r="D3" s="295" t="s">
        <v>5</v>
      </c>
      <c r="E3" s="300" t="s">
        <v>86</v>
      </c>
      <c r="F3" s="301" t="s">
        <v>85</v>
      </c>
      <c r="G3" s="302" t="s">
        <v>6</v>
      </c>
      <c r="H3" s="300" t="s">
        <v>86</v>
      </c>
      <c r="I3" s="301" t="s">
        <v>85</v>
      </c>
      <c r="J3" s="302" t="s">
        <v>7</v>
      </c>
      <c r="K3" s="300" t="s">
        <v>86</v>
      </c>
      <c r="L3" s="301" t="s">
        <v>85</v>
      </c>
      <c r="M3" s="302" t="s">
        <v>8</v>
      </c>
      <c r="N3" s="300" t="s">
        <v>86</v>
      </c>
      <c r="O3" s="301" t="s">
        <v>85</v>
      </c>
      <c r="P3" s="302" t="s">
        <v>9</v>
      </c>
      <c r="Q3" s="300" t="s">
        <v>86</v>
      </c>
      <c r="R3" s="301" t="s">
        <v>85</v>
      </c>
      <c r="S3" s="302" t="s">
        <v>10</v>
      </c>
      <c r="T3" s="300" t="s">
        <v>86</v>
      </c>
      <c r="U3" s="301" t="s">
        <v>85</v>
      </c>
      <c r="V3" s="302" t="s">
        <v>55</v>
      </c>
      <c r="W3" s="300" t="s">
        <v>86</v>
      </c>
      <c r="X3" s="301" t="s">
        <v>85</v>
      </c>
      <c r="Y3" s="246" t="s">
        <v>54</v>
      </c>
    </row>
    <row r="4" spans="1:25" ht="25.5" customHeight="1">
      <c r="A4" s="133" t="str">
        <f>LOOKUP($Y4,Namen!$A$6:$A$117,Namen!$B$6:$B$117)</f>
        <v>Stucki Daryl</v>
      </c>
      <c r="B4" s="133" t="str">
        <f>LOOKUP($Y4,Namen!$A$6:$A$117,Namen!$C$6:$C$117)</f>
        <v>ZH</v>
      </c>
      <c r="C4" s="133">
        <f>LOOKUP($Y4,Namen!$A$6:$A$117,Namen!$D$6:$D$117)</f>
        <v>11</v>
      </c>
      <c r="D4" s="252"/>
      <c r="E4" s="342"/>
      <c r="F4" s="343"/>
      <c r="G4" s="296"/>
      <c r="H4" s="342"/>
      <c r="I4" s="343"/>
      <c r="J4" s="296"/>
      <c r="K4" s="342"/>
      <c r="L4" s="343"/>
      <c r="M4" s="296"/>
      <c r="N4" s="342"/>
      <c r="O4" s="343"/>
      <c r="P4" s="296"/>
      <c r="Q4" s="342"/>
      <c r="R4" s="343"/>
      <c r="S4" s="296"/>
      <c r="T4" s="342"/>
      <c r="U4" s="343"/>
      <c r="V4" s="296"/>
      <c r="W4" s="342"/>
      <c r="X4" s="343"/>
      <c r="Y4" s="247">
        <f>'Zwischenrunde 16'!R4</f>
        <v>41</v>
      </c>
    </row>
    <row r="5" spans="1:25" ht="25.5" customHeight="1">
      <c r="A5" s="133" t="str">
        <f>LOOKUP($Y5,Namen!$A$6:$A$117,Namen!$B$6:$B$117)</f>
        <v>Haasper Kevin</v>
      </c>
      <c r="B5" s="133" t="str">
        <f>LOOKUP($Y5,Namen!$A$6:$A$117,Namen!$C$6:$C$117)</f>
        <v>BE</v>
      </c>
      <c r="C5" s="133">
        <f>LOOKUP($Y5,Namen!$A$6:$A$117,Namen!$D$6:$D$117)</f>
        <v>10</v>
      </c>
      <c r="D5" s="252"/>
      <c r="E5" s="342"/>
      <c r="F5" s="344"/>
      <c r="G5" s="296"/>
      <c r="H5" s="342"/>
      <c r="I5" s="344"/>
      <c r="J5" s="296"/>
      <c r="K5" s="342"/>
      <c r="L5" s="344"/>
      <c r="M5" s="296"/>
      <c r="N5" s="342"/>
      <c r="O5" s="344"/>
      <c r="P5" s="296"/>
      <c r="Q5" s="342"/>
      <c r="R5" s="344"/>
      <c r="S5" s="296"/>
      <c r="T5" s="342"/>
      <c r="U5" s="344"/>
      <c r="V5" s="296"/>
      <c r="W5" s="342"/>
      <c r="X5" s="344"/>
      <c r="Y5" s="248">
        <f>'Zwischenrunde 16'!R5</f>
        <v>42</v>
      </c>
    </row>
    <row r="6" spans="1:25" ht="25.5" customHeight="1" thickBot="1">
      <c r="A6" s="303" t="s">
        <v>11</v>
      </c>
      <c r="B6" s="304"/>
      <c r="C6" s="304"/>
      <c r="D6" s="305"/>
      <c r="E6" s="304"/>
      <c r="F6" s="306"/>
      <c r="G6" s="307"/>
      <c r="H6" s="304"/>
      <c r="I6" s="306"/>
      <c r="J6" s="307"/>
      <c r="K6" s="304"/>
      <c r="L6" s="306"/>
      <c r="M6" s="307"/>
      <c r="N6" s="304"/>
      <c r="O6" s="306"/>
      <c r="P6" s="307"/>
      <c r="Q6" s="304"/>
      <c r="R6" s="306"/>
      <c r="S6" s="307"/>
      <c r="T6" s="304"/>
      <c r="U6" s="306"/>
      <c r="V6" s="307"/>
      <c r="W6" s="304"/>
      <c r="X6" s="306"/>
      <c r="Y6" s="294"/>
    </row>
    <row r="7" spans="1:25" ht="25.5" customHeight="1">
      <c r="A7" s="158" t="str">
        <f>LOOKUP($Y7,Namen!$A$6:$A$117,Namen!$B$6:$B$117)</f>
        <v>Gnägi Kevin</v>
      </c>
      <c r="B7" s="158" t="str">
        <f>LOOKUP($Y7,Namen!$A$6:$A$117,Namen!$C$6:$C$117)</f>
        <v>BS</v>
      </c>
      <c r="C7" s="158">
        <f>LOOKUP($Y7,Namen!$A$6:$A$117,Namen!$D$6:$D$117)</f>
        <v>2</v>
      </c>
      <c r="D7" s="298"/>
      <c r="E7" s="342"/>
      <c r="F7" s="343"/>
      <c r="G7" s="299"/>
      <c r="H7" s="342"/>
      <c r="I7" s="343"/>
      <c r="J7" s="299"/>
      <c r="K7" s="342"/>
      <c r="L7" s="343"/>
      <c r="M7" s="299"/>
      <c r="N7" s="342"/>
      <c r="O7" s="343"/>
      <c r="P7" s="299"/>
      <c r="Q7" s="342"/>
      <c r="R7" s="343"/>
      <c r="S7" s="299"/>
      <c r="T7" s="342"/>
      <c r="U7" s="343"/>
      <c r="V7" s="299"/>
      <c r="W7" s="342"/>
      <c r="X7" s="343"/>
      <c r="Y7" s="247">
        <f>'Zwischenrunde 16'!R6</f>
        <v>75</v>
      </c>
    </row>
    <row r="8" spans="1:25" ht="25.5" customHeight="1">
      <c r="A8" s="133" t="str">
        <f>LOOKUP($Y8,Namen!$A$6:$A$117,Namen!$B$6:$B$117)</f>
        <v>Suter Martin</v>
      </c>
      <c r="B8" s="133" t="str">
        <f>LOOKUP($Y8,Namen!$A$6:$A$117,Namen!$C$6:$C$117)</f>
        <v>BS</v>
      </c>
      <c r="C8" s="133">
        <f>LOOKUP($Y8,Namen!$A$6:$A$117,Namen!$D$6:$D$117)</f>
        <v>1</v>
      </c>
      <c r="D8" s="252"/>
      <c r="E8" s="342"/>
      <c r="F8" s="344"/>
      <c r="G8" s="296"/>
      <c r="H8" s="342"/>
      <c r="I8" s="344"/>
      <c r="J8" s="296"/>
      <c r="K8" s="342"/>
      <c r="L8" s="344"/>
      <c r="M8" s="296"/>
      <c r="N8" s="342"/>
      <c r="O8" s="344"/>
      <c r="P8" s="296"/>
      <c r="Q8" s="342"/>
      <c r="R8" s="344"/>
      <c r="S8" s="296"/>
      <c r="T8" s="342"/>
      <c r="U8" s="344"/>
      <c r="V8" s="296"/>
      <c r="W8" s="342"/>
      <c r="X8" s="344"/>
      <c r="Y8" s="248">
        <f>'Zwischenrunde 16'!R7</f>
        <v>76</v>
      </c>
    </row>
    <row r="9" spans="1:25" ht="25.5" customHeight="1" thickBot="1">
      <c r="A9" s="303" t="s">
        <v>11</v>
      </c>
      <c r="B9" s="304"/>
      <c r="C9" s="304"/>
      <c r="D9" s="305"/>
      <c r="E9" s="304"/>
      <c r="F9" s="306"/>
      <c r="G9" s="307"/>
      <c r="H9" s="304"/>
      <c r="I9" s="306"/>
      <c r="J9" s="307"/>
      <c r="K9" s="304"/>
      <c r="L9" s="306"/>
      <c r="M9" s="307"/>
      <c r="N9" s="304"/>
      <c r="O9" s="306"/>
      <c r="P9" s="307"/>
      <c r="Q9" s="304"/>
      <c r="R9" s="306"/>
      <c r="S9" s="307"/>
      <c r="T9" s="304"/>
      <c r="U9" s="306"/>
      <c r="V9" s="307"/>
      <c r="W9" s="304"/>
      <c r="X9" s="306"/>
      <c r="Y9" s="294"/>
    </row>
    <row r="10" spans="1:25" ht="25.5" customHeight="1">
      <c r="A10" s="158" t="str">
        <f>LOOKUP($Y10,Namen!$A$6:$A$117,Namen!$B$6:$B$117)</f>
        <v>Ancarani Sandro</v>
      </c>
      <c r="B10" s="158" t="str">
        <f>LOOKUP($Y10,Namen!$A$6:$A$117,Namen!$C$6:$C$117)</f>
        <v>ZH</v>
      </c>
      <c r="C10" s="158">
        <f>LOOKUP($Y10,Namen!$A$6:$A$117,Namen!$D$6:$D$117)</f>
        <v>0</v>
      </c>
      <c r="D10" s="298"/>
      <c r="E10" s="342"/>
      <c r="F10" s="343"/>
      <c r="G10" s="299"/>
      <c r="H10" s="342"/>
      <c r="I10" s="343"/>
      <c r="J10" s="299"/>
      <c r="K10" s="342"/>
      <c r="L10" s="343"/>
      <c r="M10" s="299"/>
      <c r="N10" s="342"/>
      <c r="O10" s="343"/>
      <c r="P10" s="299"/>
      <c r="Q10" s="342"/>
      <c r="R10" s="343"/>
      <c r="S10" s="299"/>
      <c r="T10" s="342"/>
      <c r="U10" s="343"/>
      <c r="V10" s="299"/>
      <c r="W10" s="342"/>
      <c r="X10" s="343"/>
      <c r="Y10" s="247">
        <f>'Zwischenrunde 16'!R8</f>
        <v>39</v>
      </c>
    </row>
    <row r="11" spans="1:25" ht="25.5" customHeight="1">
      <c r="A11" s="133" t="str">
        <f>LOOKUP($Y11,Namen!$A$6:$A$117,Namen!$B$6:$B$117)</f>
        <v>Thurston Roger</v>
      </c>
      <c r="B11" s="133" t="str">
        <f>LOOKUP($Y11,Namen!$A$6:$A$117,Namen!$C$6:$C$117)</f>
        <v>ZH</v>
      </c>
      <c r="C11" s="133">
        <f>LOOKUP($Y11,Namen!$A$6:$A$117,Namen!$D$6:$D$117)</f>
        <v>0</v>
      </c>
      <c r="D11" s="252"/>
      <c r="E11" s="342"/>
      <c r="F11" s="344"/>
      <c r="G11" s="296"/>
      <c r="H11" s="342"/>
      <c r="I11" s="344"/>
      <c r="J11" s="296"/>
      <c r="K11" s="342"/>
      <c r="L11" s="344"/>
      <c r="M11" s="296"/>
      <c r="N11" s="342"/>
      <c r="O11" s="344"/>
      <c r="P11" s="296"/>
      <c r="Q11" s="342"/>
      <c r="R11" s="344"/>
      <c r="S11" s="296"/>
      <c r="T11" s="342"/>
      <c r="U11" s="344"/>
      <c r="V11" s="296"/>
      <c r="W11" s="342"/>
      <c r="X11" s="344"/>
      <c r="Y11" s="248">
        <f>'Zwischenrunde 16'!R9</f>
        <v>40</v>
      </c>
    </row>
    <row r="12" spans="1:25" ht="25.5" customHeight="1" thickBot="1">
      <c r="A12" s="303" t="s">
        <v>11</v>
      </c>
      <c r="B12" s="304"/>
      <c r="C12" s="304"/>
      <c r="D12" s="305"/>
      <c r="E12" s="304"/>
      <c r="F12" s="306"/>
      <c r="G12" s="307"/>
      <c r="H12" s="304"/>
      <c r="I12" s="306"/>
      <c r="J12" s="307"/>
      <c r="K12" s="304"/>
      <c r="L12" s="306"/>
      <c r="M12" s="307"/>
      <c r="N12" s="304"/>
      <c r="O12" s="306"/>
      <c r="P12" s="307"/>
      <c r="Q12" s="304"/>
      <c r="R12" s="306"/>
      <c r="S12" s="307"/>
      <c r="T12" s="304"/>
      <c r="U12" s="306"/>
      <c r="V12" s="307"/>
      <c r="W12" s="304"/>
      <c r="X12" s="306"/>
      <c r="Y12" s="294"/>
    </row>
    <row r="13" spans="1:25" ht="25.5" customHeight="1">
      <c r="A13" s="158" t="str">
        <f>LOOKUP($Y13,Namen!$A$6:$A$117,Namen!$B$6:$B$117)</f>
        <v>Bloch Stefan</v>
      </c>
      <c r="B13" s="158" t="str">
        <f>LOOKUP($Y13,Namen!$A$6:$A$117,Namen!$C$6:$C$117)</f>
        <v>BE</v>
      </c>
      <c r="C13" s="158">
        <f>LOOKUP($Y13,Namen!$A$6:$A$117,Namen!$D$6:$D$117)</f>
        <v>0</v>
      </c>
      <c r="D13" s="298"/>
      <c r="E13" s="342"/>
      <c r="F13" s="343"/>
      <c r="G13" s="299"/>
      <c r="H13" s="342"/>
      <c r="I13" s="343"/>
      <c r="J13" s="299"/>
      <c r="K13" s="342"/>
      <c r="L13" s="343"/>
      <c r="M13" s="299"/>
      <c r="N13" s="342"/>
      <c r="O13" s="343"/>
      <c r="P13" s="299"/>
      <c r="Q13" s="342"/>
      <c r="R13" s="343"/>
      <c r="S13" s="299"/>
      <c r="T13" s="342"/>
      <c r="U13" s="343"/>
      <c r="V13" s="299"/>
      <c r="W13" s="342"/>
      <c r="X13" s="343"/>
      <c r="Y13" s="247">
        <f>'Zwischenrunde 16'!R10</f>
        <v>57</v>
      </c>
    </row>
    <row r="14" spans="1:25" ht="25.5" customHeight="1">
      <c r="A14" s="133" t="str">
        <f>LOOKUP($Y14,Namen!$A$6:$A$117,Namen!$B$6:$B$117)</f>
        <v>Deiner Michael</v>
      </c>
      <c r="B14" s="133" t="str">
        <f>LOOKUP($Y14,Namen!$A$6:$A$117,Namen!$C$6:$C$117)</f>
        <v>BS</v>
      </c>
      <c r="C14" s="133">
        <f>LOOKUP($Y14,Namen!$A$6:$A$117,Namen!$D$6:$D$117)</f>
        <v>1</v>
      </c>
      <c r="D14" s="252"/>
      <c r="E14" s="342"/>
      <c r="F14" s="344"/>
      <c r="G14" s="296"/>
      <c r="H14" s="342"/>
      <c r="I14" s="344"/>
      <c r="J14" s="296"/>
      <c r="K14" s="342"/>
      <c r="L14" s="344"/>
      <c r="M14" s="296"/>
      <c r="N14" s="342"/>
      <c r="O14" s="344"/>
      <c r="P14" s="296"/>
      <c r="Q14" s="342"/>
      <c r="R14" s="344"/>
      <c r="S14" s="296"/>
      <c r="T14" s="342"/>
      <c r="U14" s="344"/>
      <c r="V14" s="296"/>
      <c r="W14" s="342"/>
      <c r="X14" s="344"/>
      <c r="Y14" s="248">
        <f>'Zwischenrunde 16'!R11</f>
        <v>58</v>
      </c>
    </row>
    <row r="15" spans="1:25" ht="25.5" customHeight="1" thickBot="1">
      <c r="A15" s="303" t="s">
        <v>11</v>
      </c>
      <c r="B15" s="304"/>
      <c r="C15" s="304"/>
      <c r="D15" s="305"/>
      <c r="E15" s="304"/>
      <c r="F15" s="306"/>
      <c r="G15" s="307"/>
      <c r="H15" s="304"/>
      <c r="I15" s="306"/>
      <c r="J15" s="307"/>
      <c r="K15" s="304"/>
      <c r="L15" s="306"/>
      <c r="M15" s="307"/>
      <c r="N15" s="304"/>
      <c r="O15" s="306"/>
      <c r="P15" s="307"/>
      <c r="Q15" s="304"/>
      <c r="R15" s="306"/>
      <c r="S15" s="307"/>
      <c r="T15" s="304"/>
      <c r="U15" s="306"/>
      <c r="V15" s="307"/>
      <c r="W15" s="304"/>
      <c r="X15" s="306"/>
      <c r="Y15" s="294"/>
    </row>
    <row r="16" spans="1:25" ht="25.5" customHeight="1">
      <c r="A16" s="158" t="str">
        <f>LOOKUP($Y16,Namen!$A$6:$A$117,Namen!$B$6:$B$117)</f>
        <v>Gede Mudana</v>
      </c>
      <c r="B16" s="158" t="str">
        <f>LOOKUP($Y16,Namen!$A$6:$A$117,Namen!$C$6:$C$117)</f>
        <v>BE</v>
      </c>
      <c r="C16" s="158">
        <f>LOOKUP($Y16,Namen!$A$6:$A$117,Namen!$D$6:$D$117)</f>
        <v>13</v>
      </c>
      <c r="D16" s="298"/>
      <c r="E16" s="342"/>
      <c r="F16" s="343"/>
      <c r="G16" s="299"/>
      <c r="H16" s="342"/>
      <c r="I16" s="343"/>
      <c r="J16" s="299"/>
      <c r="K16" s="342"/>
      <c r="L16" s="343"/>
      <c r="M16" s="299"/>
      <c r="N16" s="342"/>
      <c r="O16" s="343"/>
      <c r="P16" s="299"/>
      <c r="Q16" s="342"/>
      <c r="R16" s="343"/>
      <c r="S16" s="299"/>
      <c r="T16" s="342"/>
      <c r="U16" s="343"/>
      <c r="V16" s="299"/>
      <c r="W16" s="342"/>
      <c r="X16" s="343"/>
      <c r="Y16" s="247">
        <f>'Zwischenrunde 16'!R12</f>
        <v>63</v>
      </c>
    </row>
    <row r="17" spans="1:25" ht="25.5" customHeight="1">
      <c r="A17" s="133" t="str">
        <f>LOOKUP($Y17,Namen!$A$6:$A$117,Namen!$B$6:$B$117)</f>
        <v>Gede Suyasa</v>
      </c>
      <c r="B17" s="133" t="str">
        <f>LOOKUP($Y17,Namen!$A$6:$A$117,Namen!$C$6:$C$117)</f>
        <v>BE</v>
      </c>
      <c r="C17" s="133">
        <f>LOOKUP($Y17,Namen!$A$6:$A$117,Namen!$D$6:$D$117)</f>
        <v>10</v>
      </c>
      <c r="D17" s="252"/>
      <c r="E17" s="342"/>
      <c r="F17" s="344"/>
      <c r="G17" s="296"/>
      <c r="H17" s="342"/>
      <c r="I17" s="344"/>
      <c r="J17" s="296"/>
      <c r="K17" s="342"/>
      <c r="L17" s="344"/>
      <c r="M17" s="296"/>
      <c r="N17" s="342"/>
      <c r="O17" s="344"/>
      <c r="P17" s="296"/>
      <c r="Q17" s="342"/>
      <c r="R17" s="344"/>
      <c r="S17" s="296"/>
      <c r="T17" s="342"/>
      <c r="U17" s="344"/>
      <c r="V17" s="296"/>
      <c r="W17" s="342"/>
      <c r="X17" s="344"/>
      <c r="Y17" s="248">
        <f>'Zwischenrunde 16'!R13</f>
        <v>64</v>
      </c>
    </row>
    <row r="18" spans="1:25" ht="25.5" customHeight="1" thickBot="1">
      <c r="A18" s="303" t="s">
        <v>11</v>
      </c>
      <c r="B18" s="304"/>
      <c r="C18" s="304"/>
      <c r="D18" s="305"/>
      <c r="E18" s="304"/>
      <c r="F18" s="306"/>
      <c r="G18" s="307"/>
      <c r="H18" s="304"/>
      <c r="I18" s="306"/>
      <c r="J18" s="307"/>
      <c r="K18" s="304"/>
      <c r="L18" s="306"/>
      <c r="M18" s="307"/>
      <c r="N18" s="304"/>
      <c r="O18" s="306"/>
      <c r="P18" s="307"/>
      <c r="Q18" s="304"/>
      <c r="R18" s="306"/>
      <c r="S18" s="307"/>
      <c r="T18" s="304"/>
      <c r="U18" s="306"/>
      <c r="V18" s="307"/>
      <c r="W18" s="304"/>
      <c r="X18" s="306"/>
      <c r="Y18" s="294"/>
    </row>
    <row r="19" spans="1:25" ht="25.5" customHeight="1">
      <c r="A19" s="158" t="str">
        <f>LOOKUP($Y19,Namen!$A$6:$A$117,Namen!$B$6:$B$117)</f>
        <v>Jauch Daniel </v>
      </c>
      <c r="B19" s="158" t="str">
        <f>LOOKUP($Y19,Namen!$A$6:$A$117,Namen!$C$6:$C$117)</f>
        <v>BE</v>
      </c>
      <c r="C19" s="158">
        <f>LOOKUP($Y19,Namen!$A$6:$A$117,Namen!$D$6:$D$117)</f>
        <v>4</v>
      </c>
      <c r="D19" s="298"/>
      <c r="E19" s="342"/>
      <c r="F19" s="343"/>
      <c r="G19" s="299"/>
      <c r="H19" s="342"/>
      <c r="I19" s="343"/>
      <c r="J19" s="299"/>
      <c r="K19" s="342"/>
      <c r="L19" s="343"/>
      <c r="M19" s="299"/>
      <c r="N19" s="342"/>
      <c r="O19" s="343"/>
      <c r="P19" s="299"/>
      <c r="Q19" s="342"/>
      <c r="R19" s="343"/>
      <c r="S19" s="299"/>
      <c r="T19" s="342"/>
      <c r="U19" s="343"/>
      <c r="V19" s="299"/>
      <c r="W19" s="342"/>
      <c r="X19" s="343"/>
      <c r="Y19" s="247">
        <f>'Zwischenrunde 16'!R14</f>
        <v>79</v>
      </c>
    </row>
    <row r="20" spans="1:25" ht="25.5" customHeight="1">
      <c r="A20" s="133" t="str">
        <f>LOOKUP($Y20,Namen!$A$6:$A$117,Namen!$B$6:$B$117)</f>
        <v>Hubacher Stefan </v>
      </c>
      <c r="B20" s="133" t="str">
        <f>LOOKUP($Y20,Namen!$A$6:$A$117,Namen!$C$6:$C$117)</f>
        <v>BE</v>
      </c>
      <c r="C20" s="133">
        <f>LOOKUP($Y20,Namen!$A$6:$A$117,Namen!$D$6:$D$117)</f>
        <v>17</v>
      </c>
      <c r="D20" s="252"/>
      <c r="E20" s="342"/>
      <c r="F20" s="344"/>
      <c r="G20" s="296"/>
      <c r="H20" s="342"/>
      <c r="I20" s="344"/>
      <c r="J20" s="296"/>
      <c r="K20" s="342"/>
      <c r="L20" s="344"/>
      <c r="M20" s="296"/>
      <c r="N20" s="342"/>
      <c r="O20" s="344"/>
      <c r="P20" s="296"/>
      <c r="Q20" s="342"/>
      <c r="R20" s="344"/>
      <c r="S20" s="296"/>
      <c r="T20" s="342"/>
      <c r="U20" s="344"/>
      <c r="V20" s="296"/>
      <c r="W20" s="342"/>
      <c r="X20" s="344"/>
      <c r="Y20" s="248">
        <f>'Zwischenrunde 16'!R15</f>
        <v>80</v>
      </c>
    </row>
    <row r="21" spans="1:25" ht="25.5" customHeight="1" thickBot="1">
      <c r="A21" s="303" t="s">
        <v>11</v>
      </c>
      <c r="B21" s="304"/>
      <c r="C21" s="304"/>
      <c r="D21" s="305"/>
      <c r="E21" s="304"/>
      <c r="F21" s="306"/>
      <c r="G21" s="307"/>
      <c r="H21" s="304"/>
      <c r="I21" s="306"/>
      <c r="J21" s="307"/>
      <c r="K21" s="304"/>
      <c r="L21" s="306"/>
      <c r="M21" s="307"/>
      <c r="N21" s="304"/>
      <c r="O21" s="306"/>
      <c r="P21" s="307"/>
      <c r="Q21" s="304"/>
      <c r="R21" s="306"/>
      <c r="S21" s="307"/>
      <c r="T21" s="304"/>
      <c r="U21" s="306"/>
      <c r="V21" s="307"/>
      <c r="W21" s="304"/>
      <c r="X21" s="306"/>
      <c r="Y21" s="294"/>
    </row>
    <row r="22" spans="1:25" ht="25.5" customHeight="1">
      <c r="A22" s="158" t="str">
        <f>LOOKUP($Y22,Namen!$A$6:$A$117,Namen!$B$6:$B$117)</f>
        <v>Meyer Samuel</v>
      </c>
      <c r="B22" s="158" t="str">
        <f>LOOKUP($Y22,Namen!$A$6:$A$117,Namen!$C$6:$C$117)</f>
        <v>BE</v>
      </c>
      <c r="C22" s="158">
        <f>LOOKUP($Y22,Namen!$A$6:$A$117,Namen!$D$6:$D$117)</f>
        <v>16</v>
      </c>
      <c r="D22" s="298"/>
      <c r="E22" s="342"/>
      <c r="F22" s="343"/>
      <c r="G22" s="299"/>
      <c r="H22" s="342"/>
      <c r="I22" s="343"/>
      <c r="J22" s="299"/>
      <c r="K22" s="342"/>
      <c r="L22" s="343"/>
      <c r="M22" s="299"/>
      <c r="N22" s="342"/>
      <c r="O22" s="343"/>
      <c r="P22" s="299"/>
      <c r="Q22" s="342"/>
      <c r="R22" s="343"/>
      <c r="S22" s="299"/>
      <c r="T22" s="342"/>
      <c r="U22" s="343"/>
      <c r="V22" s="299"/>
      <c r="W22" s="342"/>
      <c r="X22" s="343"/>
      <c r="Y22" s="247">
        <f>'Zwischenrunde 16'!R16</f>
        <v>61</v>
      </c>
    </row>
    <row r="23" spans="1:25" ht="25.5" customHeight="1">
      <c r="A23" s="133" t="str">
        <f>LOOKUP($Y23,Namen!$A$6:$A$117,Namen!$B$6:$B$117)</f>
        <v>Punsalan Dany</v>
      </c>
      <c r="B23" s="133" t="str">
        <f>LOOKUP($Y23,Namen!$A$6:$A$117,Namen!$C$6:$C$117)</f>
        <v>BE</v>
      </c>
      <c r="C23" s="133">
        <f>LOOKUP($Y23,Namen!$A$6:$A$117,Namen!$D$6:$D$117)</f>
        <v>12</v>
      </c>
      <c r="D23" s="252"/>
      <c r="E23" s="342"/>
      <c r="F23" s="344"/>
      <c r="G23" s="296"/>
      <c r="H23" s="342"/>
      <c r="I23" s="344"/>
      <c r="J23" s="296"/>
      <c r="K23" s="342"/>
      <c r="L23" s="344"/>
      <c r="M23" s="296"/>
      <c r="N23" s="342"/>
      <c r="O23" s="344"/>
      <c r="P23" s="296"/>
      <c r="Q23" s="342"/>
      <c r="R23" s="344"/>
      <c r="S23" s="296"/>
      <c r="T23" s="342"/>
      <c r="U23" s="344"/>
      <c r="V23" s="296"/>
      <c r="W23" s="342"/>
      <c r="X23" s="344"/>
      <c r="Y23" s="248">
        <f>'Zwischenrunde 16'!R17</f>
        <v>62</v>
      </c>
    </row>
    <row r="24" spans="1:25" ht="25.5" customHeight="1" thickBot="1">
      <c r="A24" s="303" t="s">
        <v>11</v>
      </c>
      <c r="B24" s="304"/>
      <c r="C24" s="304"/>
      <c r="D24" s="305"/>
      <c r="E24" s="304"/>
      <c r="F24" s="306"/>
      <c r="G24" s="307"/>
      <c r="H24" s="304"/>
      <c r="I24" s="306"/>
      <c r="J24" s="307"/>
      <c r="K24" s="304"/>
      <c r="L24" s="306"/>
      <c r="M24" s="307"/>
      <c r="N24" s="304"/>
      <c r="O24" s="306"/>
      <c r="P24" s="307"/>
      <c r="Q24" s="304"/>
      <c r="R24" s="306"/>
      <c r="S24" s="307"/>
      <c r="T24" s="304"/>
      <c r="U24" s="306"/>
      <c r="V24" s="307"/>
      <c r="W24" s="304"/>
      <c r="X24" s="306"/>
      <c r="Y24" s="294"/>
    </row>
    <row r="25" spans="1:25" ht="25.5" customHeight="1">
      <c r="A25" s="158" t="str">
        <f>LOOKUP($Y25,Namen!$A$6:$A$117,Namen!$B$6:$B$117)</f>
        <v>Ancarani Mario</v>
      </c>
      <c r="B25" s="158" t="str">
        <f>LOOKUP($Y25,Namen!$A$6:$A$117,Namen!$C$6:$C$117)</f>
        <v>ZH</v>
      </c>
      <c r="C25" s="158">
        <f>LOOKUP($Y25,Namen!$A$6:$A$117,Namen!$D$6:$D$117)</f>
        <v>8</v>
      </c>
      <c r="D25" s="298"/>
      <c r="E25" s="342"/>
      <c r="F25" s="343"/>
      <c r="G25" s="299"/>
      <c r="H25" s="342"/>
      <c r="I25" s="343"/>
      <c r="J25" s="299"/>
      <c r="K25" s="342"/>
      <c r="L25" s="343"/>
      <c r="M25" s="299"/>
      <c r="N25" s="342"/>
      <c r="O25" s="343"/>
      <c r="P25" s="299"/>
      <c r="Q25" s="342"/>
      <c r="R25" s="343"/>
      <c r="S25" s="299"/>
      <c r="T25" s="342"/>
      <c r="U25" s="343"/>
      <c r="V25" s="299"/>
      <c r="W25" s="342"/>
      <c r="X25" s="343"/>
      <c r="Y25" s="247">
        <f>'Zwischenrunde 16'!R18</f>
        <v>37</v>
      </c>
    </row>
    <row r="26" spans="1:25" ht="25.5" customHeight="1">
      <c r="A26" s="133" t="str">
        <f>LOOKUP($Y26,Namen!$A$6:$A$117,Namen!$B$6:$B$117)</f>
        <v>Fiorani Lucio</v>
      </c>
      <c r="B26" s="133" t="str">
        <f>LOOKUP($Y26,Namen!$A$6:$A$117,Namen!$C$6:$C$117)</f>
        <v>ZH</v>
      </c>
      <c r="C26" s="133">
        <f>LOOKUP($Y26,Namen!$A$6:$A$117,Namen!$D$6:$D$117)</f>
        <v>0</v>
      </c>
      <c r="D26" s="252"/>
      <c r="E26" s="342"/>
      <c r="F26" s="344"/>
      <c r="G26" s="296"/>
      <c r="H26" s="342"/>
      <c r="I26" s="344"/>
      <c r="J26" s="296"/>
      <c r="K26" s="342"/>
      <c r="L26" s="344"/>
      <c r="M26" s="296"/>
      <c r="N26" s="342"/>
      <c r="O26" s="344"/>
      <c r="P26" s="296"/>
      <c r="Q26" s="342"/>
      <c r="R26" s="344"/>
      <c r="S26" s="296"/>
      <c r="T26" s="342"/>
      <c r="U26" s="344"/>
      <c r="V26" s="296"/>
      <c r="W26" s="342"/>
      <c r="X26" s="344"/>
      <c r="Y26" s="248">
        <f>'Zwischenrunde 16'!R19</f>
        <v>38</v>
      </c>
    </row>
    <row r="27" spans="1:25" ht="25.5" customHeight="1" thickBot="1">
      <c r="A27" s="308" t="s">
        <v>11</v>
      </c>
      <c r="B27" s="309"/>
      <c r="C27" s="310"/>
      <c r="D27" s="309"/>
      <c r="E27" s="309"/>
      <c r="F27" s="311"/>
      <c r="G27" s="312"/>
      <c r="H27" s="309"/>
      <c r="I27" s="311"/>
      <c r="J27" s="312"/>
      <c r="K27" s="309"/>
      <c r="L27" s="311"/>
      <c r="M27" s="312"/>
      <c r="N27" s="309"/>
      <c r="O27" s="311"/>
      <c r="P27" s="312"/>
      <c r="Q27" s="309"/>
      <c r="R27" s="311"/>
      <c r="S27" s="312"/>
      <c r="T27" s="309"/>
      <c r="U27" s="311"/>
      <c r="V27" s="312"/>
      <c r="W27" s="309"/>
      <c r="X27" s="311"/>
      <c r="Y27" s="297"/>
    </row>
    <row r="29" spans="2:10" ht="20.25">
      <c r="B29" s="120" t="s">
        <v>45</v>
      </c>
      <c r="C29" s="119"/>
      <c r="D29" s="121" t="s">
        <v>48</v>
      </c>
      <c r="E29" s="122"/>
      <c r="F29" s="122"/>
      <c r="J29" s="123" t="s">
        <v>56</v>
      </c>
    </row>
    <row r="30" spans="1:10" ht="20.25">
      <c r="A30" s="119"/>
      <c r="B30" s="125"/>
      <c r="C30" s="119"/>
      <c r="D30" s="121" t="s">
        <v>49</v>
      </c>
      <c r="E30" s="122"/>
      <c r="F30" s="122"/>
      <c r="J30" s="123" t="s">
        <v>57</v>
      </c>
    </row>
    <row r="31" spans="1:10" ht="20.25">
      <c r="A31" s="119"/>
      <c r="B31" s="125"/>
      <c r="C31" s="119"/>
      <c r="D31" s="121" t="s">
        <v>58</v>
      </c>
      <c r="E31" s="122"/>
      <c r="F31" s="122"/>
      <c r="G31" s="123"/>
      <c r="J31" s="123" t="s">
        <v>59</v>
      </c>
    </row>
    <row r="32" spans="1:10" ht="20.25">
      <c r="A32" s="119"/>
      <c r="B32" s="125"/>
      <c r="C32" s="119"/>
      <c r="D32" s="121" t="s">
        <v>60</v>
      </c>
      <c r="E32" s="122"/>
      <c r="F32" s="122"/>
      <c r="G32" s="123"/>
      <c r="J32" s="123" t="s">
        <v>61</v>
      </c>
    </row>
  </sheetData>
  <mergeCells count="112">
    <mergeCell ref="E4:E5"/>
    <mergeCell ref="F4:F5"/>
    <mergeCell ref="E7:E8"/>
    <mergeCell ref="F7:F8"/>
    <mergeCell ref="E10:E11"/>
    <mergeCell ref="F10:F11"/>
    <mergeCell ref="E13:E14"/>
    <mergeCell ref="F13:F14"/>
    <mergeCell ref="E16:E17"/>
    <mergeCell ref="F16:F17"/>
    <mergeCell ref="E19:E20"/>
    <mergeCell ref="F19:F20"/>
    <mergeCell ref="E22:E23"/>
    <mergeCell ref="F22:F23"/>
    <mergeCell ref="E25:E26"/>
    <mergeCell ref="F25:F26"/>
    <mergeCell ref="H4:H5"/>
    <mergeCell ref="I4:I5"/>
    <mergeCell ref="H7:H8"/>
    <mergeCell ref="I7:I8"/>
    <mergeCell ref="H10:H11"/>
    <mergeCell ref="I10:I11"/>
    <mergeCell ref="H13:H14"/>
    <mergeCell ref="I13:I14"/>
    <mergeCell ref="H16:H17"/>
    <mergeCell ref="I16:I17"/>
    <mergeCell ref="H19:H20"/>
    <mergeCell ref="I19:I20"/>
    <mergeCell ref="H22:H23"/>
    <mergeCell ref="I22:I23"/>
    <mergeCell ref="H25:H26"/>
    <mergeCell ref="I25:I26"/>
    <mergeCell ref="K4:K5"/>
    <mergeCell ref="L4:L5"/>
    <mergeCell ref="K7:K8"/>
    <mergeCell ref="L7:L8"/>
    <mergeCell ref="K10:K11"/>
    <mergeCell ref="L10:L11"/>
    <mergeCell ref="K13:K14"/>
    <mergeCell ref="L13:L14"/>
    <mergeCell ref="K16:K17"/>
    <mergeCell ref="L16:L17"/>
    <mergeCell ref="K19:K20"/>
    <mergeCell ref="L19:L20"/>
    <mergeCell ref="K22:K23"/>
    <mergeCell ref="L22:L23"/>
    <mergeCell ref="K25:K26"/>
    <mergeCell ref="L25:L26"/>
    <mergeCell ref="N4:N5"/>
    <mergeCell ref="O4:O5"/>
    <mergeCell ref="N7:N8"/>
    <mergeCell ref="O7:O8"/>
    <mergeCell ref="N10:N11"/>
    <mergeCell ref="O10:O11"/>
    <mergeCell ref="N13:N14"/>
    <mergeCell ref="O13:O14"/>
    <mergeCell ref="N16:N17"/>
    <mergeCell ref="O16:O17"/>
    <mergeCell ref="N19:N20"/>
    <mergeCell ref="O19:O20"/>
    <mergeCell ref="N22:N23"/>
    <mergeCell ref="O22:O23"/>
    <mergeCell ref="N25:N26"/>
    <mergeCell ref="O25:O26"/>
    <mergeCell ref="Q4:Q5"/>
    <mergeCell ref="R4:R5"/>
    <mergeCell ref="Q7:Q8"/>
    <mergeCell ref="R7:R8"/>
    <mergeCell ref="Q10:Q11"/>
    <mergeCell ref="R10:R11"/>
    <mergeCell ref="Q13:Q14"/>
    <mergeCell ref="R13:R14"/>
    <mergeCell ref="Q16:Q17"/>
    <mergeCell ref="R16:R17"/>
    <mergeCell ref="Q19:Q20"/>
    <mergeCell ref="R19:R20"/>
    <mergeCell ref="Q22:Q23"/>
    <mergeCell ref="R22:R23"/>
    <mergeCell ref="Q25:Q26"/>
    <mergeCell ref="R25:R26"/>
    <mergeCell ref="T4:T5"/>
    <mergeCell ref="U4:U5"/>
    <mergeCell ref="T7:T8"/>
    <mergeCell ref="U7:U8"/>
    <mergeCell ref="T10:T11"/>
    <mergeCell ref="U10:U11"/>
    <mergeCell ref="T13:T14"/>
    <mergeCell ref="U13:U14"/>
    <mergeCell ref="T16:T17"/>
    <mergeCell ref="U16:U17"/>
    <mergeCell ref="T19:T20"/>
    <mergeCell ref="U19:U20"/>
    <mergeCell ref="T22:T23"/>
    <mergeCell ref="U22:U23"/>
    <mergeCell ref="T25:T26"/>
    <mergeCell ref="U25:U26"/>
    <mergeCell ref="W4:W5"/>
    <mergeCell ref="X4:X5"/>
    <mergeCell ref="W7:W8"/>
    <mergeCell ref="X7:X8"/>
    <mergeCell ref="W10:W11"/>
    <mergeCell ref="X10:X11"/>
    <mergeCell ref="W13:W14"/>
    <mergeCell ref="X13:X14"/>
    <mergeCell ref="W16:W17"/>
    <mergeCell ref="X16:X17"/>
    <mergeCell ref="W19:W20"/>
    <mergeCell ref="X19:X20"/>
    <mergeCell ref="W22:W23"/>
    <mergeCell ref="X22:X23"/>
    <mergeCell ref="W25:W26"/>
    <mergeCell ref="X25:X26"/>
  </mergeCells>
  <conditionalFormatting sqref="D27 G27 J27 M27 P27 S27 V27">
    <cfRule type="cellIs" priority="1" dxfId="0" operator="greaterThanOrEqual" stopIfTrue="1">
      <formula>200</formula>
    </cfRule>
  </conditionalFormatting>
  <printOptions/>
  <pageMargins left="0.22" right="0.16" top="0.32" bottom="0.31" header="0.21" footer="0.21"/>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Q119"/>
  <sheetViews>
    <sheetView zoomScale="75" zoomScaleNormal="75" workbookViewId="0" topLeftCell="A43">
      <selection activeCell="C51" sqref="C51"/>
    </sheetView>
  </sheetViews>
  <sheetFormatPr defaultColWidth="11.421875" defaultRowHeight="12.75"/>
  <cols>
    <col min="1" max="1" width="6.00390625" style="0" customWidth="1"/>
    <col min="2" max="2" width="22.28125" style="0" bestFit="1" customWidth="1"/>
    <col min="3" max="3" width="9.140625" style="7" bestFit="1" customWidth="1"/>
    <col min="4" max="4" width="7.57421875" style="0" customWidth="1"/>
    <col min="5" max="5" width="7.7109375" style="7" bestFit="1" customWidth="1"/>
    <col min="6" max="6" width="17.7109375" style="0" customWidth="1"/>
    <col min="7" max="7" width="7.57421875" style="0" customWidth="1"/>
    <col min="8" max="12" width="8.00390625" style="0" customWidth="1"/>
    <col min="13" max="13" width="7.28125" style="0" customWidth="1"/>
    <col min="14" max="16" width="9.00390625" style="0" customWidth="1"/>
    <col min="17" max="17" width="11.421875" style="1" customWidth="1"/>
  </cols>
  <sheetData>
    <row r="1" ht="23.25">
      <c r="A1" s="6" t="s">
        <v>171</v>
      </c>
    </row>
    <row r="2" ht="15" customHeight="1">
      <c r="A2" s="6"/>
    </row>
    <row r="3" ht="23.25">
      <c r="A3" s="13"/>
    </row>
    <row r="4" ht="18.75" customHeight="1"/>
    <row r="5" spans="2:16" ht="13.5" thickBot="1">
      <c r="B5" s="1" t="s">
        <v>1</v>
      </c>
      <c r="C5" s="14" t="s">
        <v>15</v>
      </c>
      <c r="D5" s="1" t="s">
        <v>16</v>
      </c>
      <c r="E5" s="14" t="s">
        <v>17</v>
      </c>
      <c r="F5" s="14" t="s">
        <v>14</v>
      </c>
      <c r="G5" s="1"/>
      <c r="H5" s="1"/>
      <c r="I5" s="1"/>
      <c r="J5" s="1"/>
      <c r="K5" s="1"/>
      <c r="L5" s="1"/>
      <c r="M5" s="1"/>
      <c r="N5" s="1"/>
      <c r="O5" s="1"/>
      <c r="P5" s="1"/>
    </row>
    <row r="6" spans="1:17" ht="18.75" customHeight="1">
      <c r="A6">
        <v>1</v>
      </c>
      <c r="B6" s="207" t="s">
        <v>88</v>
      </c>
      <c r="C6" s="208" t="s">
        <v>89</v>
      </c>
      <c r="D6" s="7">
        <v>16</v>
      </c>
      <c r="I6" s="7"/>
      <c r="J6" s="7"/>
      <c r="Q6" s="8"/>
    </row>
    <row r="7" spans="1:17" ht="18.75" customHeight="1">
      <c r="A7">
        <v>2</v>
      </c>
      <c r="B7" s="203" t="s">
        <v>90</v>
      </c>
      <c r="C7" s="204" t="s">
        <v>89</v>
      </c>
      <c r="D7" s="17">
        <v>11</v>
      </c>
      <c r="E7" s="17"/>
      <c r="I7" s="7"/>
      <c r="J7" s="7"/>
      <c r="Q7" s="9"/>
    </row>
    <row r="8" spans="1:17" ht="18.75" customHeight="1">
      <c r="A8">
        <v>3</v>
      </c>
      <c r="B8" s="201" t="s">
        <v>91</v>
      </c>
      <c r="C8" s="202" t="s">
        <v>89</v>
      </c>
      <c r="D8" s="17">
        <v>29</v>
      </c>
      <c r="I8" s="7"/>
      <c r="J8" s="7"/>
      <c r="Q8" s="8"/>
    </row>
    <row r="9" spans="1:17" ht="18.75" customHeight="1">
      <c r="A9">
        <v>4</v>
      </c>
      <c r="B9" s="327" t="s">
        <v>92</v>
      </c>
      <c r="C9" s="328" t="s">
        <v>89</v>
      </c>
      <c r="D9" s="17">
        <v>11</v>
      </c>
      <c r="G9" s="3"/>
      <c r="I9" s="7"/>
      <c r="J9" s="7"/>
      <c r="Q9" s="9"/>
    </row>
    <row r="10" spans="1:17" ht="18.75" customHeight="1">
      <c r="A10">
        <v>5</v>
      </c>
      <c r="B10" s="201" t="s">
        <v>93</v>
      </c>
      <c r="C10" s="202" t="s">
        <v>94</v>
      </c>
      <c r="D10" s="17">
        <v>18</v>
      </c>
      <c r="I10" s="7"/>
      <c r="J10" s="7"/>
      <c r="Q10" s="8"/>
    </row>
    <row r="11" spans="1:17" ht="18.75" customHeight="1">
      <c r="A11">
        <v>6</v>
      </c>
      <c r="B11" s="203" t="s">
        <v>95</v>
      </c>
      <c r="C11" s="204" t="s">
        <v>94</v>
      </c>
      <c r="D11" s="17">
        <v>17</v>
      </c>
      <c r="I11" s="7"/>
      <c r="J11" s="7"/>
      <c r="Q11" s="9"/>
    </row>
    <row r="12" spans="1:17" ht="18.75" customHeight="1">
      <c r="A12">
        <v>7</v>
      </c>
      <c r="B12" s="201" t="s">
        <v>96</v>
      </c>
      <c r="C12" s="202" t="s">
        <v>94</v>
      </c>
      <c r="D12" s="17">
        <v>11</v>
      </c>
      <c r="E12" s="7" t="s">
        <v>166</v>
      </c>
      <c r="F12" s="2"/>
      <c r="I12" s="7"/>
      <c r="J12" s="7"/>
      <c r="Q12" s="8"/>
    </row>
    <row r="13" spans="1:17" ht="18.75" customHeight="1">
      <c r="A13">
        <v>8</v>
      </c>
      <c r="B13" s="203" t="s">
        <v>97</v>
      </c>
      <c r="C13" s="204" t="s">
        <v>94</v>
      </c>
      <c r="D13" s="17">
        <v>29</v>
      </c>
      <c r="E13" s="7" t="s">
        <v>166</v>
      </c>
      <c r="I13" s="7"/>
      <c r="J13" s="7"/>
      <c r="Q13" s="9"/>
    </row>
    <row r="14" spans="1:17" ht="18.75" customHeight="1">
      <c r="A14">
        <v>9</v>
      </c>
      <c r="B14" s="201" t="s">
        <v>98</v>
      </c>
      <c r="C14" s="202" t="s">
        <v>94</v>
      </c>
      <c r="D14" s="7">
        <v>11</v>
      </c>
      <c r="I14" s="7"/>
      <c r="J14" s="7"/>
      <c r="Q14" s="8"/>
    </row>
    <row r="15" spans="1:17" ht="18.75" customHeight="1">
      <c r="A15">
        <v>10</v>
      </c>
      <c r="B15" s="203" t="s">
        <v>21</v>
      </c>
      <c r="C15" s="204" t="s">
        <v>99</v>
      </c>
      <c r="D15" s="17">
        <v>7</v>
      </c>
      <c r="I15" s="7"/>
      <c r="J15" s="7"/>
      <c r="Q15" s="9"/>
    </row>
    <row r="16" spans="1:17" ht="18.75" customHeight="1">
      <c r="A16">
        <v>11</v>
      </c>
      <c r="B16" s="201" t="s">
        <v>23</v>
      </c>
      <c r="C16" s="202" t="s">
        <v>94</v>
      </c>
      <c r="D16" s="17">
        <v>5</v>
      </c>
      <c r="I16" s="7"/>
      <c r="J16" s="7"/>
      <c r="Q16" s="8"/>
    </row>
    <row r="17" spans="1:17" ht="18.75" customHeight="1">
      <c r="A17">
        <v>12</v>
      </c>
      <c r="B17" s="203" t="s">
        <v>100</v>
      </c>
      <c r="C17" s="204" t="s">
        <v>94</v>
      </c>
      <c r="D17" s="17">
        <v>11</v>
      </c>
      <c r="I17" s="7"/>
      <c r="J17" s="7"/>
      <c r="Q17" s="9"/>
    </row>
    <row r="18" spans="1:17" ht="18.75" customHeight="1">
      <c r="A18">
        <v>13</v>
      </c>
      <c r="B18" s="201" t="s">
        <v>25</v>
      </c>
      <c r="C18" s="202" t="s">
        <v>94</v>
      </c>
      <c r="D18" s="17">
        <v>4</v>
      </c>
      <c r="I18" s="7"/>
      <c r="J18" s="7"/>
      <c r="Q18" s="8"/>
    </row>
    <row r="19" spans="1:17" ht="18.75" customHeight="1">
      <c r="A19">
        <v>14</v>
      </c>
      <c r="B19" s="199" t="s">
        <v>22</v>
      </c>
      <c r="C19" s="200" t="s">
        <v>94</v>
      </c>
      <c r="D19" s="17">
        <v>7</v>
      </c>
      <c r="I19" s="7"/>
      <c r="J19" s="7"/>
      <c r="Q19" s="9"/>
    </row>
    <row r="20" spans="1:17" ht="18.75" customHeight="1">
      <c r="A20">
        <v>15</v>
      </c>
      <c r="B20" s="201" t="s">
        <v>101</v>
      </c>
      <c r="C20" s="202" t="s">
        <v>99</v>
      </c>
      <c r="D20" s="17">
        <v>6</v>
      </c>
      <c r="I20" s="7"/>
      <c r="J20" s="7"/>
      <c r="Q20" s="8"/>
    </row>
    <row r="21" spans="1:17" ht="18.75" customHeight="1">
      <c r="A21">
        <v>16</v>
      </c>
      <c r="B21" s="203" t="s">
        <v>102</v>
      </c>
      <c r="C21" s="204" t="s">
        <v>99</v>
      </c>
      <c r="D21" s="17">
        <v>8</v>
      </c>
      <c r="I21" s="7"/>
      <c r="J21" s="7"/>
      <c r="Q21" s="9"/>
    </row>
    <row r="22" spans="1:17" ht="18.75" customHeight="1">
      <c r="A22">
        <v>17</v>
      </c>
      <c r="B22" s="329" t="s">
        <v>103</v>
      </c>
      <c r="C22" s="330" t="s">
        <v>104</v>
      </c>
      <c r="D22" s="7">
        <v>2</v>
      </c>
      <c r="E22" s="7" t="s">
        <v>167</v>
      </c>
      <c r="I22" s="7"/>
      <c r="J22" s="7"/>
      <c r="Q22" s="8"/>
    </row>
    <row r="23" spans="1:17" ht="18.75" customHeight="1">
      <c r="A23">
        <v>18</v>
      </c>
      <c r="B23" s="199" t="s">
        <v>176</v>
      </c>
      <c r="C23" s="200" t="s">
        <v>105</v>
      </c>
      <c r="D23" s="7">
        <v>19</v>
      </c>
      <c r="E23" s="7" t="s">
        <v>166</v>
      </c>
      <c r="I23" s="7"/>
      <c r="J23" s="7"/>
      <c r="Q23" s="9"/>
    </row>
    <row r="24" spans="1:17" ht="18.75" customHeight="1">
      <c r="A24">
        <v>19</v>
      </c>
      <c r="B24" s="323" t="s">
        <v>106</v>
      </c>
      <c r="C24" s="322" t="s">
        <v>89</v>
      </c>
      <c r="D24" s="17">
        <v>7</v>
      </c>
      <c r="I24" s="7"/>
      <c r="J24" s="7"/>
      <c r="Q24" s="8"/>
    </row>
    <row r="25" spans="1:17" ht="18.75" customHeight="1">
      <c r="A25">
        <v>20</v>
      </c>
      <c r="B25" s="203" t="s">
        <v>107</v>
      </c>
      <c r="C25" s="204" t="s">
        <v>89</v>
      </c>
      <c r="D25" s="17">
        <v>14</v>
      </c>
      <c r="I25" s="7"/>
      <c r="J25" s="7"/>
      <c r="Q25" s="9"/>
    </row>
    <row r="26" spans="1:17" ht="18.75" customHeight="1">
      <c r="A26">
        <v>21</v>
      </c>
      <c r="B26" s="205" t="s">
        <v>108</v>
      </c>
      <c r="C26" s="206" t="s">
        <v>94</v>
      </c>
      <c r="D26" s="7">
        <v>11</v>
      </c>
      <c r="I26" s="7"/>
      <c r="J26" s="7"/>
      <c r="Q26" s="8"/>
    </row>
    <row r="27" spans="1:17" ht="18.75" customHeight="1">
      <c r="A27">
        <v>22</v>
      </c>
      <c r="B27" s="199" t="s">
        <v>109</v>
      </c>
      <c r="C27" s="200" t="s">
        <v>94</v>
      </c>
      <c r="D27" s="17">
        <v>1</v>
      </c>
      <c r="E27" s="17"/>
      <c r="I27" s="7"/>
      <c r="J27" s="7"/>
      <c r="Q27" s="9"/>
    </row>
    <row r="28" spans="1:17" ht="18.75" customHeight="1">
      <c r="A28">
        <v>23</v>
      </c>
      <c r="B28" s="201" t="s">
        <v>110</v>
      </c>
      <c r="C28" s="202" t="s">
        <v>89</v>
      </c>
      <c r="D28" s="17">
        <v>7</v>
      </c>
      <c r="I28" s="7"/>
      <c r="J28" s="7"/>
      <c r="Q28" s="9"/>
    </row>
    <row r="29" spans="1:17" ht="18.75" customHeight="1">
      <c r="A29">
        <v>24</v>
      </c>
      <c r="B29" s="203" t="s">
        <v>111</v>
      </c>
      <c r="C29" s="204" t="s">
        <v>89</v>
      </c>
      <c r="D29" s="17">
        <v>16</v>
      </c>
      <c r="I29" s="7"/>
      <c r="J29" s="7"/>
      <c r="Q29" s="9"/>
    </row>
    <row r="30" spans="1:17" ht="18.75" customHeight="1">
      <c r="A30">
        <v>25</v>
      </c>
      <c r="B30" s="205" t="s">
        <v>177</v>
      </c>
      <c r="C30" s="206" t="s">
        <v>112</v>
      </c>
      <c r="D30" s="17">
        <v>14</v>
      </c>
      <c r="E30" s="7" t="s">
        <v>167</v>
      </c>
      <c r="I30" s="7"/>
      <c r="J30" s="7"/>
      <c r="Q30" s="8"/>
    </row>
    <row r="31" spans="1:17" ht="18.75" customHeight="1">
      <c r="A31">
        <v>26</v>
      </c>
      <c r="B31" s="199" t="s">
        <v>113</v>
      </c>
      <c r="C31" s="200" t="s">
        <v>112</v>
      </c>
      <c r="D31" s="17">
        <v>13</v>
      </c>
      <c r="E31" s="7" t="s">
        <v>167</v>
      </c>
      <c r="I31" s="7"/>
      <c r="J31" s="7"/>
      <c r="Q31" s="9"/>
    </row>
    <row r="32" spans="1:17" ht="18.75" customHeight="1">
      <c r="A32">
        <v>27</v>
      </c>
      <c r="B32" s="201" t="s">
        <v>114</v>
      </c>
      <c r="C32" s="202" t="s">
        <v>94</v>
      </c>
      <c r="D32" s="7">
        <v>4</v>
      </c>
      <c r="I32" s="7"/>
      <c r="J32" s="7"/>
      <c r="Q32" s="8"/>
    </row>
    <row r="33" spans="1:17" ht="18.75" customHeight="1">
      <c r="A33">
        <v>28</v>
      </c>
      <c r="B33" s="203" t="s">
        <v>181</v>
      </c>
      <c r="C33" s="204" t="s">
        <v>94</v>
      </c>
      <c r="D33" s="7">
        <v>13</v>
      </c>
      <c r="I33" s="7"/>
      <c r="J33" s="7"/>
      <c r="Q33" s="9"/>
    </row>
    <row r="34" spans="1:17" ht="18.75" customHeight="1">
      <c r="A34">
        <v>29</v>
      </c>
      <c r="B34" s="201" t="s">
        <v>179</v>
      </c>
      <c r="C34" s="202" t="s">
        <v>99</v>
      </c>
      <c r="D34" s="17">
        <v>13</v>
      </c>
      <c r="E34" s="7" t="s">
        <v>166</v>
      </c>
      <c r="H34" s="4"/>
      <c r="I34" s="7"/>
      <c r="J34" s="7"/>
      <c r="Q34" s="8"/>
    </row>
    <row r="35" spans="1:17" ht="18.75" customHeight="1">
      <c r="A35">
        <v>30</v>
      </c>
      <c r="B35" s="203" t="s">
        <v>180</v>
      </c>
      <c r="C35" s="204" t="s">
        <v>99</v>
      </c>
      <c r="D35" s="17">
        <v>13</v>
      </c>
      <c r="E35" s="7" t="s">
        <v>166</v>
      </c>
      <c r="I35" s="7"/>
      <c r="J35" s="7"/>
      <c r="Q35" s="9"/>
    </row>
    <row r="36" spans="1:17" ht="18.75" customHeight="1">
      <c r="A36">
        <v>31</v>
      </c>
      <c r="B36" s="201" t="s">
        <v>115</v>
      </c>
      <c r="C36" s="202" t="s">
        <v>99</v>
      </c>
      <c r="D36" s="17">
        <v>17</v>
      </c>
      <c r="I36" s="7"/>
      <c r="J36" s="7"/>
      <c r="Q36" s="8"/>
    </row>
    <row r="37" spans="1:17" ht="18.75" customHeight="1">
      <c r="A37">
        <v>32</v>
      </c>
      <c r="B37" s="203" t="s">
        <v>116</v>
      </c>
      <c r="C37" s="204" t="s">
        <v>99</v>
      </c>
      <c r="D37" s="7">
        <v>16</v>
      </c>
      <c r="I37" s="7"/>
      <c r="J37" s="7"/>
      <c r="Q37" s="9"/>
    </row>
    <row r="38" spans="1:17" ht="18.75" customHeight="1">
      <c r="A38">
        <v>33</v>
      </c>
      <c r="B38" s="323" t="s">
        <v>117</v>
      </c>
      <c r="C38" s="322" t="s">
        <v>94</v>
      </c>
      <c r="D38" s="7">
        <v>5</v>
      </c>
      <c r="I38" s="7"/>
      <c r="J38" s="7"/>
      <c r="Q38" s="8"/>
    </row>
    <row r="39" spans="1:17" ht="18.75" customHeight="1">
      <c r="A39">
        <v>34</v>
      </c>
      <c r="B39" s="199" t="s">
        <v>118</v>
      </c>
      <c r="C39" s="200" t="s">
        <v>94</v>
      </c>
      <c r="D39" s="17">
        <v>3</v>
      </c>
      <c r="I39" s="7"/>
      <c r="J39" s="7"/>
      <c r="Q39" s="9"/>
    </row>
    <row r="40" spans="1:17" ht="18.75" customHeight="1">
      <c r="A40">
        <v>35</v>
      </c>
      <c r="B40" s="201" t="s">
        <v>24</v>
      </c>
      <c r="C40" s="202" t="s">
        <v>119</v>
      </c>
      <c r="D40" s="17">
        <v>8</v>
      </c>
      <c r="I40" s="7"/>
      <c r="J40" s="7"/>
      <c r="Q40" s="8"/>
    </row>
    <row r="41" spans="1:17" ht="18.75" customHeight="1">
      <c r="A41">
        <v>36</v>
      </c>
      <c r="B41" s="203" t="s">
        <v>120</v>
      </c>
      <c r="C41" s="204" t="s">
        <v>119</v>
      </c>
      <c r="D41" s="17">
        <v>8</v>
      </c>
      <c r="I41" s="7"/>
      <c r="J41" s="7"/>
      <c r="Q41" s="9"/>
    </row>
    <row r="42" spans="1:17" ht="18.75" customHeight="1">
      <c r="A42">
        <v>37</v>
      </c>
      <c r="B42" s="201" t="s">
        <v>182</v>
      </c>
      <c r="C42" s="202" t="s">
        <v>99</v>
      </c>
      <c r="D42" s="17">
        <v>8</v>
      </c>
      <c r="I42" s="7"/>
      <c r="J42" s="7"/>
      <c r="Q42" s="8"/>
    </row>
    <row r="43" spans="1:17" ht="18.75" customHeight="1">
      <c r="A43">
        <v>38</v>
      </c>
      <c r="B43" s="203" t="s">
        <v>122</v>
      </c>
      <c r="C43" s="204" t="s">
        <v>99</v>
      </c>
      <c r="D43" s="17">
        <v>0</v>
      </c>
      <c r="I43" s="7"/>
      <c r="J43" s="7"/>
      <c r="Q43" s="9"/>
    </row>
    <row r="44" spans="1:17" ht="18.75" customHeight="1">
      <c r="A44">
        <v>39</v>
      </c>
      <c r="B44" s="201" t="s">
        <v>123</v>
      </c>
      <c r="C44" s="202" t="s">
        <v>99</v>
      </c>
      <c r="D44" s="17">
        <v>0</v>
      </c>
      <c r="I44" s="7"/>
      <c r="J44" s="7"/>
      <c r="Q44" s="8"/>
    </row>
    <row r="45" spans="1:17" ht="18.75" customHeight="1">
      <c r="A45">
        <v>40</v>
      </c>
      <c r="B45" s="203" t="s">
        <v>124</v>
      </c>
      <c r="C45" s="204" t="s">
        <v>99</v>
      </c>
      <c r="D45" s="17">
        <v>0</v>
      </c>
      <c r="I45" s="7"/>
      <c r="J45" s="7"/>
      <c r="Q45" s="9"/>
    </row>
    <row r="46" spans="1:17" ht="18.75" customHeight="1">
      <c r="A46">
        <v>41</v>
      </c>
      <c r="B46" s="201" t="s">
        <v>178</v>
      </c>
      <c r="C46" s="202" t="s">
        <v>99</v>
      </c>
      <c r="D46" s="17">
        <v>11</v>
      </c>
      <c r="E46" s="7" t="s">
        <v>166</v>
      </c>
      <c r="I46" s="7"/>
      <c r="J46" s="7"/>
      <c r="Q46" s="8"/>
    </row>
    <row r="47" spans="1:17" ht="18.75" customHeight="1" thickBot="1">
      <c r="A47">
        <v>42</v>
      </c>
      <c r="B47" s="324" t="s">
        <v>175</v>
      </c>
      <c r="C47" s="325" t="s">
        <v>125</v>
      </c>
      <c r="D47" s="7">
        <v>10</v>
      </c>
      <c r="E47" s="7" t="s">
        <v>166</v>
      </c>
      <c r="I47" s="7"/>
      <c r="J47" s="7"/>
      <c r="Q47" s="9"/>
    </row>
    <row r="48" spans="1:17" ht="18.75" customHeight="1">
      <c r="A48">
        <v>43</v>
      </c>
      <c r="B48" s="207" t="s">
        <v>183</v>
      </c>
      <c r="C48" s="208" t="s">
        <v>125</v>
      </c>
      <c r="D48" s="7">
        <v>5</v>
      </c>
      <c r="I48" s="7"/>
      <c r="J48" s="7"/>
      <c r="Q48" s="8"/>
    </row>
    <row r="49" spans="1:17" ht="18.75" customHeight="1">
      <c r="A49">
        <v>44</v>
      </c>
      <c r="B49" s="203" t="s">
        <v>184</v>
      </c>
      <c r="C49" s="204" t="s">
        <v>125</v>
      </c>
      <c r="D49" s="7">
        <v>2</v>
      </c>
      <c r="F49" s="3"/>
      <c r="I49" s="7"/>
      <c r="J49" s="7"/>
      <c r="Q49" s="9"/>
    </row>
    <row r="50" spans="1:17" ht="18.75" customHeight="1">
      <c r="A50">
        <v>45</v>
      </c>
      <c r="B50" s="201" t="s">
        <v>121</v>
      </c>
      <c r="C50" s="202" t="s">
        <v>99</v>
      </c>
      <c r="D50" s="17">
        <v>0</v>
      </c>
      <c r="I50" s="7"/>
      <c r="J50" s="7"/>
      <c r="Q50" s="8"/>
    </row>
    <row r="51" spans="1:17" ht="18.75" customHeight="1">
      <c r="A51">
        <v>46</v>
      </c>
      <c r="B51" s="203" t="s">
        <v>168</v>
      </c>
      <c r="C51" s="204" t="s">
        <v>99</v>
      </c>
      <c r="D51" s="7">
        <v>7</v>
      </c>
      <c r="E51" s="7" t="s">
        <v>166</v>
      </c>
      <c r="I51" s="7"/>
      <c r="J51" s="7"/>
      <c r="Q51" s="9"/>
    </row>
    <row r="52" spans="1:17" ht="18.75" customHeight="1">
      <c r="A52">
        <v>47</v>
      </c>
      <c r="B52" s="201" t="s">
        <v>126</v>
      </c>
      <c r="C52" s="202" t="s">
        <v>94</v>
      </c>
      <c r="D52" s="17">
        <v>13</v>
      </c>
      <c r="I52" s="7"/>
      <c r="J52" s="7"/>
      <c r="Q52" s="8"/>
    </row>
    <row r="53" spans="1:17" ht="18.75" customHeight="1">
      <c r="A53">
        <v>48</v>
      </c>
      <c r="B53" s="203" t="s">
        <v>127</v>
      </c>
      <c r="C53" s="204" t="s">
        <v>94</v>
      </c>
      <c r="D53" s="7">
        <v>17</v>
      </c>
      <c r="I53" s="7"/>
      <c r="J53" s="7"/>
      <c r="Q53" s="9"/>
    </row>
    <row r="54" spans="1:17" ht="18.75" customHeight="1">
      <c r="A54">
        <v>49</v>
      </c>
      <c r="B54" s="331" t="s">
        <v>128</v>
      </c>
      <c r="C54" s="202" t="s">
        <v>99</v>
      </c>
      <c r="D54" s="7">
        <v>4</v>
      </c>
      <c r="I54" s="7"/>
      <c r="J54" s="7"/>
      <c r="Q54" s="8"/>
    </row>
    <row r="55" spans="1:17" ht="18.75" customHeight="1">
      <c r="A55">
        <v>50</v>
      </c>
      <c r="B55" s="203" t="s">
        <v>129</v>
      </c>
      <c r="C55" s="204" t="s">
        <v>99</v>
      </c>
      <c r="D55" s="7">
        <v>3</v>
      </c>
      <c r="I55" s="7"/>
      <c r="J55" s="7"/>
      <c r="Q55" s="9"/>
    </row>
    <row r="56" spans="1:17" ht="18.75" customHeight="1">
      <c r="A56">
        <v>51</v>
      </c>
      <c r="B56" s="201" t="s">
        <v>130</v>
      </c>
      <c r="C56" s="202" t="s">
        <v>99</v>
      </c>
      <c r="D56" s="17">
        <v>14</v>
      </c>
      <c r="I56" s="7"/>
      <c r="J56" s="7"/>
      <c r="Q56" s="8"/>
    </row>
    <row r="57" spans="1:17" ht="18.75" customHeight="1">
      <c r="A57">
        <v>52</v>
      </c>
      <c r="B57" s="203" t="s">
        <v>131</v>
      </c>
      <c r="C57" s="204" t="s">
        <v>99</v>
      </c>
      <c r="D57" s="7">
        <v>5</v>
      </c>
      <c r="I57" s="7"/>
      <c r="J57" s="7"/>
      <c r="Q57" s="9"/>
    </row>
    <row r="58" spans="1:17" ht="18.75" customHeight="1">
      <c r="A58">
        <v>53</v>
      </c>
      <c r="B58" s="201" t="s">
        <v>132</v>
      </c>
      <c r="C58" s="202" t="s">
        <v>133</v>
      </c>
      <c r="D58" s="17">
        <v>1</v>
      </c>
      <c r="I58" s="7"/>
      <c r="J58" s="7"/>
      <c r="Q58" s="8"/>
    </row>
    <row r="59" spans="1:17" ht="18.75" customHeight="1">
      <c r="A59">
        <v>54</v>
      </c>
      <c r="B59" s="203" t="s">
        <v>134</v>
      </c>
      <c r="C59" s="204" t="s">
        <v>133</v>
      </c>
      <c r="D59" s="7">
        <v>7</v>
      </c>
      <c r="I59" s="7"/>
      <c r="J59" s="7"/>
      <c r="Q59" s="9"/>
    </row>
    <row r="60" spans="1:17" ht="18.75" customHeight="1">
      <c r="A60">
        <v>55</v>
      </c>
      <c r="B60" s="201" t="s">
        <v>135</v>
      </c>
      <c r="C60" s="202" t="s">
        <v>133</v>
      </c>
      <c r="D60" s="17">
        <v>7</v>
      </c>
      <c r="E60" s="17"/>
      <c r="I60" s="7"/>
      <c r="J60" s="7"/>
      <c r="Q60" s="8"/>
    </row>
    <row r="61" spans="1:17" ht="18.75" customHeight="1">
      <c r="A61">
        <v>56</v>
      </c>
      <c r="B61" s="203" t="s">
        <v>185</v>
      </c>
      <c r="C61" s="204" t="s">
        <v>133</v>
      </c>
      <c r="D61" s="17">
        <v>8</v>
      </c>
      <c r="I61" s="7"/>
      <c r="J61" s="7"/>
      <c r="Q61" s="9"/>
    </row>
    <row r="62" spans="1:17" ht="18.75" customHeight="1">
      <c r="A62">
        <v>57</v>
      </c>
      <c r="B62" s="201" t="s">
        <v>136</v>
      </c>
      <c r="C62" s="202" t="s">
        <v>125</v>
      </c>
      <c r="D62" s="17">
        <v>0</v>
      </c>
      <c r="I62" s="7"/>
      <c r="J62" s="7"/>
      <c r="Q62" s="8"/>
    </row>
    <row r="63" spans="1:17" ht="18.75" customHeight="1" thickBot="1">
      <c r="A63">
        <v>58</v>
      </c>
      <c r="B63" s="324" t="s">
        <v>137</v>
      </c>
      <c r="C63" s="325" t="s">
        <v>133</v>
      </c>
      <c r="D63" s="17">
        <v>1</v>
      </c>
      <c r="I63" s="7"/>
      <c r="J63" s="7"/>
      <c r="Q63" s="9"/>
    </row>
    <row r="64" spans="1:17" ht="18.75" customHeight="1">
      <c r="A64">
        <v>59</v>
      </c>
      <c r="B64" s="213" t="s">
        <v>138</v>
      </c>
      <c r="C64" s="214" t="s">
        <v>99</v>
      </c>
      <c r="D64" s="7">
        <v>0</v>
      </c>
      <c r="I64" s="7"/>
      <c r="J64" s="7"/>
      <c r="Q64" s="8"/>
    </row>
    <row r="65" spans="1:17" ht="18.75" customHeight="1">
      <c r="A65">
        <v>60</v>
      </c>
      <c r="B65" s="211" t="s">
        <v>139</v>
      </c>
      <c r="C65" s="212" t="s">
        <v>99</v>
      </c>
      <c r="D65" s="7">
        <v>3</v>
      </c>
      <c r="I65" s="7"/>
      <c r="J65" s="7"/>
      <c r="Q65" s="9"/>
    </row>
    <row r="66" spans="1:17" ht="18.75" customHeight="1">
      <c r="A66">
        <v>61</v>
      </c>
      <c r="B66" s="213" t="s">
        <v>140</v>
      </c>
      <c r="C66" s="214" t="s">
        <v>125</v>
      </c>
      <c r="D66" s="17">
        <v>16</v>
      </c>
      <c r="I66" s="7"/>
      <c r="J66" s="7"/>
      <c r="Q66" s="8"/>
    </row>
    <row r="67" spans="1:17" ht="18.75" customHeight="1">
      <c r="A67">
        <v>62</v>
      </c>
      <c r="B67" s="211" t="s">
        <v>141</v>
      </c>
      <c r="C67" s="212" t="s">
        <v>125</v>
      </c>
      <c r="D67" s="17">
        <v>12</v>
      </c>
      <c r="I67" s="7"/>
      <c r="J67" s="7"/>
      <c r="Q67" s="9"/>
    </row>
    <row r="68" spans="1:17" ht="18.75" customHeight="1">
      <c r="A68">
        <v>63</v>
      </c>
      <c r="B68" s="213" t="s">
        <v>142</v>
      </c>
      <c r="C68" s="214" t="s">
        <v>125</v>
      </c>
      <c r="D68" s="17">
        <v>13</v>
      </c>
      <c r="F68" s="2"/>
      <c r="G68" s="3"/>
      <c r="I68" s="7"/>
      <c r="J68" s="7"/>
      <c r="Q68" s="8"/>
    </row>
    <row r="69" spans="1:17" ht="18.75" customHeight="1">
      <c r="A69">
        <v>64</v>
      </c>
      <c r="B69" s="211" t="s">
        <v>143</v>
      </c>
      <c r="C69" s="212" t="s">
        <v>125</v>
      </c>
      <c r="D69" s="7">
        <v>10</v>
      </c>
      <c r="G69" s="3"/>
      <c r="I69" s="7"/>
      <c r="J69" s="7"/>
      <c r="Q69" s="9"/>
    </row>
    <row r="70" spans="1:17" ht="18.75" customHeight="1">
      <c r="A70">
        <v>65</v>
      </c>
      <c r="B70" s="213"/>
      <c r="C70" s="214"/>
      <c r="D70" s="17"/>
      <c r="F70" s="2"/>
      <c r="I70" s="7"/>
      <c r="J70" s="7"/>
      <c r="Q70" s="8"/>
    </row>
    <row r="71" spans="1:17" ht="18.75" customHeight="1">
      <c r="A71">
        <v>66</v>
      </c>
      <c r="B71" s="211"/>
      <c r="C71" s="212"/>
      <c r="D71" s="7"/>
      <c r="G71" s="3"/>
      <c r="I71" s="7"/>
      <c r="J71" s="7"/>
      <c r="Q71" s="9"/>
    </row>
    <row r="72" spans="1:17" ht="18.75" customHeight="1">
      <c r="A72">
        <v>67</v>
      </c>
      <c r="B72" s="213" t="s">
        <v>144</v>
      </c>
      <c r="C72" s="214" t="s">
        <v>99</v>
      </c>
      <c r="D72" s="17">
        <v>11</v>
      </c>
      <c r="I72" s="7"/>
      <c r="J72" s="7"/>
      <c r="Q72" s="8"/>
    </row>
    <row r="73" spans="1:17" ht="18.75" customHeight="1">
      <c r="A73">
        <v>68</v>
      </c>
      <c r="B73" s="211" t="s">
        <v>145</v>
      </c>
      <c r="C73" s="212" t="s">
        <v>94</v>
      </c>
      <c r="D73" s="7">
        <v>7</v>
      </c>
      <c r="E73" s="17"/>
      <c r="I73" s="7"/>
      <c r="J73" s="7"/>
      <c r="Q73" s="9"/>
    </row>
    <row r="74" spans="1:17" ht="18.75" customHeight="1">
      <c r="A74">
        <v>69</v>
      </c>
      <c r="B74" s="213" t="s">
        <v>146</v>
      </c>
      <c r="C74" s="214" t="s">
        <v>99</v>
      </c>
      <c r="D74" s="7">
        <v>5</v>
      </c>
      <c r="I74" s="7"/>
      <c r="J74" s="7"/>
      <c r="Q74" s="8"/>
    </row>
    <row r="75" spans="1:17" ht="18.75" customHeight="1">
      <c r="A75">
        <v>70</v>
      </c>
      <c r="B75" s="211" t="s">
        <v>147</v>
      </c>
      <c r="C75" s="212" t="s">
        <v>99</v>
      </c>
      <c r="D75" s="7">
        <v>13</v>
      </c>
      <c r="I75" s="7"/>
      <c r="J75" s="7"/>
      <c r="Q75" s="9"/>
    </row>
    <row r="76" spans="1:17" ht="18.75" customHeight="1">
      <c r="A76">
        <v>71</v>
      </c>
      <c r="B76" s="213" t="s">
        <v>148</v>
      </c>
      <c r="C76" s="214" t="s">
        <v>99</v>
      </c>
      <c r="D76" s="7">
        <v>4</v>
      </c>
      <c r="I76" s="7"/>
      <c r="J76" s="7"/>
      <c r="Q76" s="8"/>
    </row>
    <row r="77" spans="1:17" ht="18.75" customHeight="1">
      <c r="A77">
        <v>72</v>
      </c>
      <c r="B77" s="211" t="s">
        <v>187</v>
      </c>
      <c r="C77" s="212" t="s">
        <v>99</v>
      </c>
      <c r="D77" s="17">
        <v>23</v>
      </c>
      <c r="I77" s="7"/>
      <c r="J77" s="7"/>
      <c r="Q77" s="9"/>
    </row>
    <row r="78" spans="1:17" ht="18.75" customHeight="1">
      <c r="A78">
        <v>73</v>
      </c>
      <c r="B78" s="213" t="s">
        <v>149</v>
      </c>
      <c r="C78" s="214" t="s">
        <v>99</v>
      </c>
      <c r="D78" s="7">
        <v>14</v>
      </c>
      <c r="I78" s="7"/>
      <c r="J78" s="7"/>
      <c r="Q78" s="8"/>
    </row>
    <row r="79" spans="1:17" ht="18.75" customHeight="1" thickBot="1">
      <c r="A79">
        <v>74</v>
      </c>
      <c r="B79" s="215" t="s">
        <v>186</v>
      </c>
      <c r="C79" s="216" t="s">
        <v>99</v>
      </c>
      <c r="D79" s="17">
        <v>14</v>
      </c>
      <c r="I79" s="7"/>
      <c r="J79" s="7"/>
      <c r="Q79" s="9"/>
    </row>
    <row r="80" spans="1:17" ht="18.75" customHeight="1">
      <c r="A80">
        <v>75</v>
      </c>
      <c r="B80" s="213" t="s">
        <v>150</v>
      </c>
      <c r="C80" s="214" t="s">
        <v>133</v>
      </c>
      <c r="D80" s="17">
        <v>2</v>
      </c>
      <c r="F80" s="2"/>
      <c r="I80" s="7"/>
      <c r="J80" s="7"/>
      <c r="Q80" s="8"/>
    </row>
    <row r="81" spans="1:17" ht="18.75" customHeight="1">
      <c r="A81">
        <v>76</v>
      </c>
      <c r="B81" s="211" t="s">
        <v>151</v>
      </c>
      <c r="C81" s="212" t="s">
        <v>133</v>
      </c>
      <c r="D81" s="17">
        <v>1</v>
      </c>
      <c r="I81" s="7"/>
      <c r="J81" s="7"/>
      <c r="Q81" s="9"/>
    </row>
    <row r="82" spans="1:17" ht="18.75" customHeight="1">
      <c r="A82">
        <v>77</v>
      </c>
      <c r="B82" s="213" t="s">
        <v>152</v>
      </c>
      <c r="C82" s="214" t="s">
        <v>125</v>
      </c>
      <c r="D82" s="17">
        <v>23</v>
      </c>
      <c r="I82" s="7"/>
      <c r="J82" s="7"/>
      <c r="Q82" s="8"/>
    </row>
    <row r="83" spans="1:17" ht="18.75" customHeight="1">
      <c r="A83">
        <v>78</v>
      </c>
      <c r="B83" s="211" t="s">
        <v>153</v>
      </c>
      <c r="C83" s="212" t="s">
        <v>125</v>
      </c>
      <c r="D83" s="7">
        <v>21</v>
      </c>
      <c r="F83" s="2"/>
      <c r="I83" s="7"/>
      <c r="J83" s="7"/>
      <c r="Q83" s="9"/>
    </row>
    <row r="84" spans="1:17" ht="18.75" customHeight="1">
      <c r="A84">
        <v>79</v>
      </c>
      <c r="B84" s="213" t="s">
        <v>154</v>
      </c>
      <c r="C84" s="214" t="s">
        <v>125</v>
      </c>
      <c r="D84" s="7">
        <v>4</v>
      </c>
      <c r="I84" s="7"/>
      <c r="J84" s="7"/>
      <c r="Q84" s="8"/>
    </row>
    <row r="85" spans="1:17" ht="18.75" customHeight="1">
      <c r="A85">
        <v>80</v>
      </c>
      <c r="B85" s="211" t="s">
        <v>155</v>
      </c>
      <c r="C85" s="212" t="s">
        <v>125</v>
      </c>
      <c r="D85" s="7">
        <v>17</v>
      </c>
      <c r="I85" s="7"/>
      <c r="J85" s="7"/>
      <c r="Q85" s="9"/>
    </row>
    <row r="86" spans="1:17" ht="18.75" customHeight="1">
      <c r="A86">
        <v>81</v>
      </c>
      <c r="B86" s="213" t="s">
        <v>188</v>
      </c>
      <c r="C86" s="214" t="s">
        <v>125</v>
      </c>
      <c r="D86" s="7">
        <v>20</v>
      </c>
      <c r="I86" s="7"/>
      <c r="J86" s="7"/>
      <c r="Q86" s="8"/>
    </row>
    <row r="87" spans="1:17" ht="18.75" customHeight="1">
      <c r="A87">
        <v>82</v>
      </c>
      <c r="B87" s="211" t="s">
        <v>156</v>
      </c>
      <c r="C87" s="212" t="s">
        <v>125</v>
      </c>
      <c r="D87" s="17">
        <v>15</v>
      </c>
      <c r="I87" s="7"/>
      <c r="J87" s="7"/>
      <c r="Q87" s="9"/>
    </row>
    <row r="88" spans="1:17" ht="18.75" customHeight="1">
      <c r="A88">
        <v>83</v>
      </c>
      <c r="B88" s="213" t="s">
        <v>157</v>
      </c>
      <c r="C88" s="214" t="s">
        <v>158</v>
      </c>
      <c r="D88" s="7">
        <v>12</v>
      </c>
      <c r="I88" s="7"/>
      <c r="J88" s="7"/>
      <c r="Q88" s="8"/>
    </row>
    <row r="89" spans="1:17" ht="18.75" customHeight="1">
      <c r="A89">
        <v>84</v>
      </c>
      <c r="B89" s="211" t="s">
        <v>159</v>
      </c>
      <c r="C89" s="212" t="s">
        <v>125</v>
      </c>
      <c r="D89" s="7">
        <v>14</v>
      </c>
      <c r="I89" s="7"/>
      <c r="J89" s="7"/>
      <c r="Q89" s="9"/>
    </row>
    <row r="90" spans="1:17" ht="18.75" customHeight="1">
      <c r="A90">
        <v>85</v>
      </c>
      <c r="B90" s="213" t="s">
        <v>160</v>
      </c>
      <c r="C90" s="214" t="s">
        <v>161</v>
      </c>
      <c r="D90" s="7">
        <v>12</v>
      </c>
      <c r="F90" s="2"/>
      <c r="I90" s="7"/>
      <c r="J90" s="7"/>
      <c r="Q90" s="8"/>
    </row>
    <row r="91" spans="1:17" ht="18.75" customHeight="1">
      <c r="A91">
        <v>86</v>
      </c>
      <c r="B91" s="211" t="s">
        <v>162</v>
      </c>
      <c r="C91" s="212" t="s">
        <v>161</v>
      </c>
      <c r="D91" s="7">
        <v>7</v>
      </c>
      <c r="I91" s="7"/>
      <c r="J91" s="7"/>
      <c r="Q91" s="9"/>
    </row>
    <row r="92" spans="1:17" ht="18.75" customHeight="1">
      <c r="A92">
        <v>87</v>
      </c>
      <c r="B92" s="213" t="s">
        <v>163</v>
      </c>
      <c r="C92" s="214" t="s">
        <v>161</v>
      </c>
      <c r="D92" s="17">
        <v>26</v>
      </c>
      <c r="I92" s="7"/>
      <c r="J92" s="7"/>
      <c r="Q92" s="8"/>
    </row>
    <row r="93" spans="1:17" ht="18.75" customHeight="1">
      <c r="A93">
        <v>88</v>
      </c>
      <c r="B93" s="211" t="s">
        <v>164</v>
      </c>
      <c r="C93" s="212" t="s">
        <v>161</v>
      </c>
      <c r="D93" s="17">
        <v>13</v>
      </c>
      <c r="I93" s="7"/>
      <c r="J93" s="7"/>
      <c r="Q93" s="9"/>
    </row>
    <row r="94" spans="1:17" ht="18.75" customHeight="1">
      <c r="A94">
        <v>89</v>
      </c>
      <c r="B94" s="217" t="s">
        <v>169</v>
      </c>
      <c r="C94" s="218" t="s">
        <v>158</v>
      </c>
      <c r="D94" s="7">
        <v>21</v>
      </c>
      <c r="I94" s="7"/>
      <c r="J94" s="7"/>
      <c r="Q94" s="8"/>
    </row>
    <row r="95" spans="1:17" ht="18.75" customHeight="1" thickBot="1">
      <c r="A95">
        <v>90</v>
      </c>
      <c r="B95" s="215" t="s">
        <v>165</v>
      </c>
      <c r="C95" s="216" t="s">
        <v>125</v>
      </c>
      <c r="D95" s="7">
        <v>4</v>
      </c>
      <c r="I95" s="7"/>
      <c r="J95" s="7"/>
      <c r="Q95" s="9"/>
    </row>
    <row r="96" spans="1:17" ht="18.75" customHeight="1">
      <c r="A96">
        <v>91</v>
      </c>
      <c r="B96" s="213"/>
      <c r="C96" s="214"/>
      <c r="D96" s="17"/>
      <c r="I96" s="7"/>
      <c r="J96" s="7"/>
      <c r="Q96" s="8"/>
    </row>
    <row r="97" spans="1:17" ht="18.75" customHeight="1">
      <c r="A97">
        <v>92</v>
      </c>
      <c r="B97" s="211"/>
      <c r="C97" s="212"/>
      <c r="D97" s="7"/>
      <c r="I97" s="7"/>
      <c r="J97" s="7"/>
      <c r="Q97" s="9"/>
    </row>
    <row r="98" spans="1:17" ht="18.75" customHeight="1">
      <c r="A98">
        <v>93</v>
      </c>
      <c r="B98" s="213"/>
      <c r="C98" s="214"/>
      <c r="D98" s="7"/>
      <c r="I98" s="7"/>
      <c r="J98" s="7"/>
      <c r="Q98" s="8"/>
    </row>
    <row r="99" spans="1:17" ht="18.75" customHeight="1">
      <c r="A99">
        <v>94</v>
      </c>
      <c r="B99" s="211"/>
      <c r="C99" s="212"/>
      <c r="D99" s="17"/>
      <c r="I99" s="7"/>
      <c r="J99" s="7"/>
      <c r="Q99" s="9"/>
    </row>
    <row r="100" spans="1:17" ht="18.75" customHeight="1">
      <c r="A100">
        <v>95</v>
      </c>
      <c r="B100" s="213"/>
      <c r="C100" s="214"/>
      <c r="D100" s="17"/>
      <c r="E100" s="17"/>
      <c r="I100" s="7"/>
      <c r="J100" s="7"/>
      <c r="Q100" s="8"/>
    </row>
    <row r="101" spans="1:17" ht="18.75" customHeight="1" thickBot="1">
      <c r="A101">
        <v>96</v>
      </c>
      <c r="B101" s="215"/>
      <c r="C101" s="216"/>
      <c r="D101" s="17"/>
      <c r="I101" s="7"/>
      <c r="J101" s="7"/>
      <c r="Q101" s="9"/>
    </row>
    <row r="102" spans="1:17" ht="18.75" customHeight="1">
      <c r="A102">
        <v>97</v>
      </c>
      <c r="B102" s="209"/>
      <c r="C102" s="210"/>
      <c r="D102" s="7"/>
      <c r="I102" s="7"/>
      <c r="J102" s="7"/>
      <c r="Q102" s="8"/>
    </row>
    <row r="103" spans="1:17" ht="18.75" customHeight="1">
      <c r="A103">
        <v>98</v>
      </c>
      <c r="B103" s="211"/>
      <c r="C103" s="212"/>
      <c r="D103" s="7"/>
      <c r="I103" s="7"/>
      <c r="J103" s="7"/>
      <c r="Q103" s="9"/>
    </row>
    <row r="104" spans="1:17" ht="18.75" customHeight="1">
      <c r="A104">
        <v>99</v>
      </c>
      <c r="B104" s="213"/>
      <c r="C104" s="214"/>
      <c r="D104" s="7"/>
      <c r="F104" s="2"/>
      <c r="G104" s="3"/>
      <c r="I104" s="7"/>
      <c r="J104" s="7"/>
      <c r="Q104" s="8"/>
    </row>
    <row r="105" spans="1:17" ht="18.75" customHeight="1">
      <c r="A105">
        <v>100</v>
      </c>
      <c r="B105" s="211"/>
      <c r="C105" s="212"/>
      <c r="D105" s="7"/>
      <c r="F105" s="2"/>
      <c r="G105" s="3"/>
      <c r="I105" s="7"/>
      <c r="J105" s="7"/>
      <c r="Q105" s="9"/>
    </row>
    <row r="106" spans="1:17" ht="18.75" customHeight="1">
      <c r="A106">
        <v>101</v>
      </c>
      <c r="B106" s="213"/>
      <c r="C106" s="214"/>
      <c r="D106" s="7"/>
      <c r="I106" s="7"/>
      <c r="J106" s="7"/>
      <c r="Q106" s="8"/>
    </row>
    <row r="107" spans="1:17" ht="18.75" customHeight="1">
      <c r="A107">
        <v>102</v>
      </c>
      <c r="B107" s="211"/>
      <c r="C107" s="212"/>
      <c r="D107" s="7"/>
      <c r="I107" s="7"/>
      <c r="J107" s="7"/>
      <c r="Q107" s="9"/>
    </row>
    <row r="108" spans="1:17" ht="18.75" customHeight="1">
      <c r="A108">
        <v>103</v>
      </c>
      <c r="B108" s="213"/>
      <c r="C108" s="214"/>
      <c r="D108" s="7"/>
      <c r="I108" s="7"/>
      <c r="J108" s="7"/>
      <c r="Q108" s="8"/>
    </row>
    <row r="109" spans="1:17" ht="18.75" customHeight="1">
      <c r="A109">
        <v>104</v>
      </c>
      <c r="B109" s="211"/>
      <c r="C109" s="212"/>
      <c r="D109" s="7"/>
      <c r="I109" s="7"/>
      <c r="J109" s="7"/>
      <c r="Q109" s="9"/>
    </row>
    <row r="110" spans="1:17" ht="18.75" customHeight="1">
      <c r="A110">
        <v>105</v>
      </c>
      <c r="B110" s="213"/>
      <c r="C110" s="214"/>
      <c r="D110" s="7"/>
      <c r="I110" s="7"/>
      <c r="J110" s="7"/>
      <c r="Q110" s="8"/>
    </row>
    <row r="111" spans="1:17" ht="18.75" customHeight="1">
      <c r="A111">
        <v>106</v>
      </c>
      <c r="B111" s="211"/>
      <c r="C111" s="212"/>
      <c r="D111" s="7"/>
      <c r="I111" s="7"/>
      <c r="J111" s="7"/>
      <c r="Q111" s="9"/>
    </row>
    <row r="112" spans="1:17" ht="18.75" customHeight="1">
      <c r="A112">
        <v>107</v>
      </c>
      <c r="B112" s="213"/>
      <c r="C112" s="214"/>
      <c r="D112" s="7"/>
      <c r="Q112" s="10"/>
    </row>
    <row r="113" spans="1:4" ht="18.75" customHeight="1">
      <c r="A113">
        <v>108</v>
      </c>
      <c r="B113" s="211"/>
      <c r="C113" s="212"/>
      <c r="D113" s="7"/>
    </row>
    <row r="114" spans="1:4" ht="18.75" customHeight="1">
      <c r="A114">
        <v>109</v>
      </c>
      <c r="B114" s="213"/>
      <c r="C114" s="214"/>
      <c r="D114" s="7"/>
    </row>
    <row r="115" spans="1:4" ht="18.75" customHeight="1">
      <c r="A115">
        <v>110</v>
      </c>
      <c r="B115" s="211"/>
      <c r="C115" s="212"/>
      <c r="D115" s="7"/>
    </row>
    <row r="116" spans="1:4" ht="18.75" customHeight="1">
      <c r="A116">
        <v>111</v>
      </c>
      <c r="B116" s="217"/>
      <c r="C116" s="218"/>
      <c r="D116" s="7"/>
    </row>
    <row r="117" spans="1:4" ht="18.75" customHeight="1" thickBot="1">
      <c r="A117">
        <v>112</v>
      </c>
      <c r="B117" s="215"/>
      <c r="C117" s="216"/>
      <c r="D117" s="7"/>
    </row>
    <row r="118" ht="12.75">
      <c r="A118">
        <v>113</v>
      </c>
    </row>
    <row r="119" ht="12.75">
      <c r="A119">
        <v>114</v>
      </c>
    </row>
  </sheetData>
  <printOptions gridLines="1"/>
  <pageMargins left="0.75" right="0.75" top="0.63" bottom="0.39" header="0.511811023" footer="0.24"/>
  <pageSetup horizontalDpi="300" verticalDpi="300" orientation="portrait" paperSize="9" scale="70"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121"/>
  <sheetViews>
    <sheetView showZeros="0" zoomScale="75" zoomScaleNormal="75" workbookViewId="0" topLeftCell="A63">
      <selection activeCell="C36" sqref="C36:E91"/>
    </sheetView>
  </sheetViews>
  <sheetFormatPr defaultColWidth="11.421875" defaultRowHeight="12.75"/>
  <cols>
    <col min="1" max="1" width="6.00390625" style="26" customWidth="1"/>
    <col min="2" max="2" width="28.140625" style="25" bestFit="1" customWidth="1"/>
    <col min="3" max="3" width="5.8515625" style="25" bestFit="1" customWidth="1"/>
    <col min="4" max="4" width="5.8515625" style="25" customWidth="1"/>
    <col min="5" max="6" width="5.8515625" style="27" customWidth="1"/>
    <col min="7" max="14" width="7.28125" style="25" customWidth="1"/>
    <col min="15" max="15" width="6.57421875" style="25" customWidth="1"/>
    <col min="16" max="16" width="8.28125" style="28" customWidth="1"/>
    <col min="17" max="18" width="8.00390625" style="25" customWidth="1"/>
    <col min="19" max="19" width="9.28125" style="29" customWidth="1"/>
    <col min="20" max="20" width="6.00390625" style="25" customWidth="1"/>
    <col min="21" max="21" width="11.421875" style="25" customWidth="1"/>
    <col min="22" max="22" width="11.421875" style="27" customWidth="1"/>
    <col min="23" max="16384" width="11.421875" style="25" customWidth="1"/>
  </cols>
  <sheetData>
    <row r="1" spans="2:29" ht="23.25">
      <c r="B1" s="22"/>
      <c r="C1" s="22"/>
      <c r="D1" s="22"/>
      <c r="E1" s="130" t="s">
        <v>172</v>
      </c>
      <c r="G1" s="22"/>
      <c r="H1" s="22"/>
      <c r="I1" s="22"/>
      <c r="J1" s="22"/>
      <c r="K1" s="22"/>
      <c r="L1" s="22"/>
      <c r="M1" s="22"/>
      <c r="N1" s="22"/>
      <c r="O1" s="22"/>
      <c r="P1" s="23"/>
      <c r="Q1" s="22"/>
      <c r="R1" s="22"/>
      <c r="S1" s="24"/>
      <c r="T1" s="22"/>
      <c r="AC1" s="198"/>
    </row>
    <row r="2" ht="22.5" customHeight="1"/>
    <row r="3" spans="1:22" s="30" customFormat="1" ht="18" customHeight="1">
      <c r="A3" s="225" t="s">
        <v>0</v>
      </c>
      <c r="B3" s="226" t="s">
        <v>1</v>
      </c>
      <c r="C3" s="226" t="s">
        <v>2</v>
      </c>
      <c r="D3" s="226" t="s">
        <v>3</v>
      </c>
      <c r="E3" s="227" t="s">
        <v>4</v>
      </c>
      <c r="F3" s="225" t="s">
        <v>53</v>
      </c>
      <c r="G3" s="226" t="s">
        <v>5</v>
      </c>
      <c r="H3" s="226" t="s">
        <v>6</v>
      </c>
      <c r="I3" s="226" t="s">
        <v>7</v>
      </c>
      <c r="J3" s="226" t="s">
        <v>8</v>
      </c>
      <c r="K3" s="226" t="s">
        <v>9</v>
      </c>
      <c r="L3" s="226" t="s">
        <v>10</v>
      </c>
      <c r="M3" s="226" t="s">
        <v>55</v>
      </c>
      <c r="N3" s="226" t="s">
        <v>82</v>
      </c>
      <c r="O3" s="226" t="s">
        <v>11</v>
      </c>
      <c r="P3" s="228" t="s">
        <v>12</v>
      </c>
      <c r="Q3" s="226" t="s">
        <v>3</v>
      </c>
      <c r="R3" s="226" t="s">
        <v>11</v>
      </c>
      <c r="S3" s="226" t="s">
        <v>13</v>
      </c>
      <c r="T3" s="129" t="s">
        <v>52</v>
      </c>
      <c r="U3" s="191">
        <v>0.5</v>
      </c>
      <c r="V3" s="326" t="s">
        <v>87</v>
      </c>
    </row>
    <row r="4" spans="1:22" s="30" customFormat="1" ht="18" customHeight="1">
      <c r="A4" s="289">
        <v>1</v>
      </c>
      <c r="B4" s="229" t="str">
        <f>LOOKUP($T4,Namen!$A$6:$A$117,Namen!$B$6:$B$117)</f>
        <v>Ancarani Sandro</v>
      </c>
      <c r="C4" s="229" t="str">
        <f>LOOKUP($T4,Namen!$A$6:$A$117,Namen!$C$6:$C$117)</f>
        <v>ZH</v>
      </c>
      <c r="D4" s="229">
        <f>LOOKUP($T4,Namen!$A$6:$A$117,Namen!$D$6:$D$117)</f>
        <v>0</v>
      </c>
      <c r="E4" s="230">
        <f>LOOKUP($T4,Namen!$A$6:$A$117,Namen!$E$6:$E$117)</f>
        <v>0</v>
      </c>
      <c r="F4" s="230">
        <f aca="true" t="shared" si="0" ref="F4:F35">COUNT(G4:N4)</f>
        <v>8</v>
      </c>
      <c r="G4" s="231">
        <v>219</v>
      </c>
      <c r="H4" s="231">
        <v>255</v>
      </c>
      <c r="I4" s="231">
        <v>248</v>
      </c>
      <c r="J4" s="231">
        <v>205</v>
      </c>
      <c r="K4" s="231">
        <v>181</v>
      </c>
      <c r="L4" s="231">
        <v>249</v>
      </c>
      <c r="M4" s="231">
        <v>203</v>
      </c>
      <c r="N4" s="231">
        <v>249</v>
      </c>
      <c r="O4" s="232">
        <f aca="true" t="shared" si="1" ref="O4:O35">SUM(G4:N4)</f>
        <v>1809</v>
      </c>
      <c r="P4" s="233">
        <f aca="true" t="shared" si="2" ref="P4:P35">IF(F4&gt;0,O4/F4,0)</f>
        <v>226.125</v>
      </c>
      <c r="Q4" s="229">
        <f aca="true" t="shared" si="3" ref="Q4:Q35">D4*F4</f>
        <v>0</v>
      </c>
      <c r="R4" s="229">
        <f aca="true" t="shared" si="4" ref="R4:R35">O4+Q4</f>
        <v>1809</v>
      </c>
      <c r="S4" s="279">
        <f>S5</f>
        <v>3567</v>
      </c>
      <c r="T4" s="224">
        <v>39</v>
      </c>
      <c r="U4" s="32"/>
      <c r="V4" s="326">
        <f>ROUNDUP((200-(SUM(G4:L4))/COUNT(G4:L4))*0.6,0)</f>
        <v>-16</v>
      </c>
    </row>
    <row r="5" spans="1:22" s="30" customFormat="1" ht="18" customHeight="1">
      <c r="A5" s="253"/>
      <c r="B5" s="229" t="str">
        <f>LOOKUP($T5,Namen!$A$6:$A$117,Namen!$B$6:$B$117)</f>
        <v>Thurston Roger</v>
      </c>
      <c r="C5" s="229" t="str">
        <f>LOOKUP($T5,Namen!$A$6:$A$117,Namen!$C$6:$C$117)</f>
        <v>ZH</v>
      </c>
      <c r="D5" s="229">
        <f>LOOKUP($T5,Namen!$A$6:$A$117,Namen!$D$6:$D$117)</f>
        <v>0</v>
      </c>
      <c r="E5" s="230">
        <f>LOOKUP($T5,Namen!$A$6:$A$117,Namen!$E$6:$E$117)</f>
        <v>0</v>
      </c>
      <c r="F5" s="230">
        <f t="shared" si="0"/>
        <v>8</v>
      </c>
      <c r="G5" s="231">
        <v>191</v>
      </c>
      <c r="H5" s="231">
        <v>210</v>
      </c>
      <c r="I5" s="231">
        <v>213</v>
      </c>
      <c r="J5" s="231">
        <v>189</v>
      </c>
      <c r="K5" s="231">
        <v>227</v>
      </c>
      <c r="L5" s="231">
        <v>232</v>
      </c>
      <c r="M5" s="231">
        <v>238</v>
      </c>
      <c r="N5" s="231">
        <v>258</v>
      </c>
      <c r="O5" s="232">
        <f t="shared" si="1"/>
        <v>1758</v>
      </c>
      <c r="P5" s="233">
        <f t="shared" si="2"/>
        <v>219.75</v>
      </c>
      <c r="Q5" s="229">
        <f t="shared" si="3"/>
        <v>0</v>
      </c>
      <c r="R5" s="229">
        <f t="shared" si="4"/>
        <v>1758</v>
      </c>
      <c r="S5" s="277">
        <f>SUM(R4:R5)</f>
        <v>3567</v>
      </c>
      <c r="T5" s="224">
        <v>40</v>
      </c>
      <c r="U5" s="32">
        <f>ROUND(S5/2,0)</f>
        <v>1784</v>
      </c>
      <c r="V5" s="326">
        <f aca="true" t="shared" si="5" ref="V5:V68">ROUNDUP((200-(SUM(G5:L5))/COUNT(G5:L5))*0.6,0)</f>
        <v>-7</v>
      </c>
    </row>
    <row r="6" spans="1:22" s="30" customFormat="1" ht="18" customHeight="1">
      <c r="A6" s="289">
        <v>2</v>
      </c>
      <c r="B6" s="229" t="str">
        <f>LOOKUP($T6,Namen!$A$6:$A$117,Namen!$B$6:$B$117)</f>
        <v>Gnägi Kevin</v>
      </c>
      <c r="C6" s="229" t="str">
        <f>LOOKUP($T6,Namen!$A$6:$A$117,Namen!$C$6:$C$117)</f>
        <v>BS</v>
      </c>
      <c r="D6" s="229">
        <f>LOOKUP($T6,Namen!$A$6:$A$117,Namen!$D$6:$D$117)</f>
        <v>2</v>
      </c>
      <c r="E6" s="230">
        <f>LOOKUP($T6,Namen!$A$6:$A$117,Namen!$E$6:$E$117)</f>
        <v>0</v>
      </c>
      <c r="F6" s="230">
        <f t="shared" si="0"/>
        <v>8</v>
      </c>
      <c r="G6" s="231">
        <v>257</v>
      </c>
      <c r="H6" s="231">
        <v>187</v>
      </c>
      <c r="I6" s="231">
        <v>233</v>
      </c>
      <c r="J6" s="231">
        <v>226</v>
      </c>
      <c r="K6" s="231">
        <v>245</v>
      </c>
      <c r="L6" s="231">
        <v>247</v>
      </c>
      <c r="M6" s="231">
        <v>211</v>
      </c>
      <c r="N6" s="231">
        <v>222</v>
      </c>
      <c r="O6" s="232">
        <f t="shared" si="1"/>
        <v>1828</v>
      </c>
      <c r="P6" s="233">
        <f t="shared" si="2"/>
        <v>228.5</v>
      </c>
      <c r="Q6" s="229">
        <f t="shared" si="3"/>
        <v>16</v>
      </c>
      <c r="R6" s="229">
        <f t="shared" si="4"/>
        <v>1844</v>
      </c>
      <c r="S6" s="279">
        <f>S7</f>
        <v>3518</v>
      </c>
      <c r="T6" s="224">
        <v>75</v>
      </c>
      <c r="U6" s="32"/>
      <c r="V6" s="326">
        <f t="shared" si="5"/>
        <v>-20</v>
      </c>
    </row>
    <row r="7" spans="1:22" s="30" customFormat="1" ht="18" customHeight="1">
      <c r="A7" s="253"/>
      <c r="B7" s="229" t="str">
        <f>LOOKUP($T7,Namen!$A$6:$A$117,Namen!$B$6:$B$117)</f>
        <v>Suter Martin</v>
      </c>
      <c r="C7" s="229" t="str">
        <f>LOOKUP($T7,Namen!$A$6:$A$117,Namen!$C$6:$C$117)</f>
        <v>BS</v>
      </c>
      <c r="D7" s="229">
        <f>LOOKUP($T7,Namen!$A$6:$A$117,Namen!$D$6:$D$117)</f>
        <v>1</v>
      </c>
      <c r="E7" s="230">
        <f>LOOKUP($T7,Namen!$A$6:$A$117,Namen!$E$6:$E$117)</f>
        <v>0</v>
      </c>
      <c r="F7" s="230">
        <f t="shared" si="0"/>
        <v>8</v>
      </c>
      <c r="G7" s="231">
        <v>192</v>
      </c>
      <c r="H7" s="231">
        <v>192</v>
      </c>
      <c r="I7" s="231">
        <v>170</v>
      </c>
      <c r="J7" s="231">
        <v>208</v>
      </c>
      <c r="K7" s="231">
        <v>225</v>
      </c>
      <c r="L7" s="231">
        <v>181</v>
      </c>
      <c r="M7" s="231">
        <v>253</v>
      </c>
      <c r="N7" s="231">
        <v>245</v>
      </c>
      <c r="O7" s="232">
        <f t="shared" si="1"/>
        <v>1666</v>
      </c>
      <c r="P7" s="233">
        <f t="shared" si="2"/>
        <v>208.25</v>
      </c>
      <c r="Q7" s="229">
        <f t="shared" si="3"/>
        <v>8</v>
      </c>
      <c r="R7" s="229">
        <f t="shared" si="4"/>
        <v>1674</v>
      </c>
      <c r="S7" s="277">
        <f>SUM(R6:R7)</f>
        <v>3518</v>
      </c>
      <c r="T7" s="224">
        <v>76</v>
      </c>
      <c r="U7" s="32">
        <f>ROUND(S7/2,0)</f>
        <v>1759</v>
      </c>
      <c r="V7" s="326">
        <f t="shared" si="5"/>
        <v>4</v>
      </c>
    </row>
    <row r="8" spans="1:22" s="30" customFormat="1" ht="18" customHeight="1">
      <c r="A8" s="289">
        <v>3</v>
      </c>
      <c r="B8" s="229" t="str">
        <f>LOOKUP($T8,Namen!$A$6:$A$117,Namen!$B$6:$B$117)</f>
        <v>Stucki Daryl</v>
      </c>
      <c r="C8" s="229" t="str">
        <f>LOOKUP($T8,Namen!$A$6:$A$117,Namen!$C$6:$C$117)</f>
        <v>ZH</v>
      </c>
      <c r="D8" s="229">
        <f>LOOKUP($T8,Namen!$A$6:$A$117,Namen!$D$6:$D$117)</f>
        <v>11</v>
      </c>
      <c r="E8" s="230" t="str">
        <f>LOOKUP($T8,Namen!$A$6:$A$117,Namen!$E$6:$E$117)</f>
        <v>JB</v>
      </c>
      <c r="F8" s="230">
        <f t="shared" si="0"/>
        <v>8</v>
      </c>
      <c r="G8" s="231">
        <v>178</v>
      </c>
      <c r="H8" s="231">
        <v>233</v>
      </c>
      <c r="I8" s="231">
        <v>177</v>
      </c>
      <c r="J8" s="231">
        <v>219</v>
      </c>
      <c r="K8" s="231">
        <v>193</v>
      </c>
      <c r="L8" s="231">
        <v>258</v>
      </c>
      <c r="M8" s="231">
        <v>193</v>
      </c>
      <c r="N8" s="231">
        <v>159</v>
      </c>
      <c r="O8" s="232">
        <f t="shared" si="1"/>
        <v>1610</v>
      </c>
      <c r="P8" s="233">
        <f t="shared" si="2"/>
        <v>201.25</v>
      </c>
      <c r="Q8" s="229">
        <f t="shared" si="3"/>
        <v>88</v>
      </c>
      <c r="R8" s="229">
        <f t="shared" si="4"/>
        <v>1698</v>
      </c>
      <c r="S8" s="279">
        <f>S9</f>
        <v>3499</v>
      </c>
      <c r="T8" s="224">
        <v>41</v>
      </c>
      <c r="U8" s="32"/>
      <c r="V8" s="326">
        <f t="shared" si="5"/>
        <v>-6</v>
      </c>
    </row>
    <row r="9" spans="1:22" s="30" customFormat="1" ht="18" customHeight="1">
      <c r="A9" s="253"/>
      <c r="B9" s="229" t="str">
        <f>LOOKUP($T9,Namen!$A$6:$A$117,Namen!$B$6:$B$117)</f>
        <v>Haasper Kevin</v>
      </c>
      <c r="C9" s="229" t="str">
        <f>LOOKUP($T9,Namen!$A$6:$A$117,Namen!$C$6:$C$117)</f>
        <v>BE</v>
      </c>
      <c r="D9" s="229">
        <f>LOOKUP($T9,Namen!$A$6:$A$117,Namen!$D$6:$D$117)</f>
        <v>10</v>
      </c>
      <c r="E9" s="230" t="str">
        <f>LOOKUP($T9,Namen!$A$6:$A$117,Namen!$E$6:$E$117)</f>
        <v>JB</v>
      </c>
      <c r="F9" s="230">
        <f t="shared" si="0"/>
        <v>8</v>
      </c>
      <c r="G9" s="231">
        <v>205</v>
      </c>
      <c r="H9" s="231">
        <v>192</v>
      </c>
      <c r="I9" s="231">
        <v>235</v>
      </c>
      <c r="J9" s="231">
        <v>234</v>
      </c>
      <c r="K9" s="231">
        <v>224</v>
      </c>
      <c r="L9" s="231">
        <v>205</v>
      </c>
      <c r="M9" s="231">
        <v>202</v>
      </c>
      <c r="N9" s="231">
        <v>224</v>
      </c>
      <c r="O9" s="232">
        <f t="shared" si="1"/>
        <v>1721</v>
      </c>
      <c r="P9" s="233">
        <f t="shared" si="2"/>
        <v>215.125</v>
      </c>
      <c r="Q9" s="229">
        <f t="shared" si="3"/>
        <v>80</v>
      </c>
      <c r="R9" s="229">
        <f t="shared" si="4"/>
        <v>1801</v>
      </c>
      <c r="S9" s="277">
        <f>SUM(R8:R9)</f>
        <v>3499</v>
      </c>
      <c r="T9" s="224">
        <v>42</v>
      </c>
      <c r="U9" s="32">
        <f>ROUND(S9/2,0)</f>
        <v>1750</v>
      </c>
      <c r="V9" s="326">
        <f t="shared" si="5"/>
        <v>-10</v>
      </c>
    </row>
    <row r="10" spans="1:22" s="30" customFormat="1" ht="18" customHeight="1">
      <c r="A10" s="289">
        <v>4</v>
      </c>
      <c r="B10" s="229" t="str">
        <f>LOOKUP($T10,Namen!$A$6:$A$117,Namen!$B$6:$B$117)</f>
        <v>Dvorak Marco</v>
      </c>
      <c r="C10" s="229" t="str">
        <f>LOOKUP($T10,Namen!$A$6:$A$117,Namen!$C$6:$C$117)</f>
        <v>TG</v>
      </c>
      <c r="D10" s="229">
        <f>LOOKUP($T10,Namen!$A$6:$A$117,Namen!$D$6:$D$117)</f>
        <v>11</v>
      </c>
      <c r="E10" s="230">
        <f>LOOKUP($T10,Namen!$A$6:$A$117,Namen!$E$6:$E$117)</f>
        <v>0</v>
      </c>
      <c r="F10" s="230">
        <f t="shared" si="0"/>
        <v>8</v>
      </c>
      <c r="G10" s="231">
        <v>224</v>
      </c>
      <c r="H10" s="231">
        <v>238</v>
      </c>
      <c r="I10" s="231">
        <v>204</v>
      </c>
      <c r="J10" s="231">
        <v>188</v>
      </c>
      <c r="K10" s="231">
        <v>171</v>
      </c>
      <c r="L10" s="231">
        <v>203</v>
      </c>
      <c r="M10" s="231">
        <v>202</v>
      </c>
      <c r="N10" s="231">
        <v>213</v>
      </c>
      <c r="O10" s="232">
        <f t="shared" si="1"/>
        <v>1643</v>
      </c>
      <c r="P10" s="233">
        <f t="shared" si="2"/>
        <v>205.375</v>
      </c>
      <c r="Q10" s="229">
        <f t="shared" si="3"/>
        <v>88</v>
      </c>
      <c r="R10" s="229">
        <f t="shared" si="4"/>
        <v>1731</v>
      </c>
      <c r="S10" s="279">
        <f>S11</f>
        <v>3488</v>
      </c>
      <c r="T10" s="224">
        <v>21</v>
      </c>
      <c r="U10" s="32"/>
      <c r="V10" s="326">
        <f t="shared" si="5"/>
        <v>-3</v>
      </c>
    </row>
    <row r="11" spans="1:22" s="30" customFormat="1" ht="18" customHeight="1">
      <c r="A11" s="253"/>
      <c r="B11" s="229" t="str">
        <f>LOOKUP($T11,Namen!$A$6:$A$117,Namen!$B$6:$B$117)</f>
        <v>Hutter Marcel</v>
      </c>
      <c r="C11" s="229" t="str">
        <f>LOOKUP($T11,Namen!$A$6:$A$117,Namen!$C$6:$C$117)</f>
        <v>TG</v>
      </c>
      <c r="D11" s="229">
        <f>LOOKUP($T11,Namen!$A$6:$A$117,Namen!$D$6:$D$117)</f>
        <v>1</v>
      </c>
      <c r="E11" s="230">
        <f>LOOKUP($T11,Namen!$A$6:$A$117,Namen!$E$6:$E$117)</f>
        <v>0</v>
      </c>
      <c r="F11" s="230">
        <f t="shared" si="0"/>
        <v>8</v>
      </c>
      <c r="G11" s="231">
        <v>193</v>
      </c>
      <c r="H11" s="231">
        <v>201</v>
      </c>
      <c r="I11" s="231">
        <v>299</v>
      </c>
      <c r="J11" s="231">
        <v>226</v>
      </c>
      <c r="K11" s="231">
        <v>221</v>
      </c>
      <c r="L11" s="231">
        <v>203</v>
      </c>
      <c r="M11" s="231">
        <v>204</v>
      </c>
      <c r="N11" s="231">
        <v>202</v>
      </c>
      <c r="O11" s="232">
        <f t="shared" si="1"/>
        <v>1749</v>
      </c>
      <c r="P11" s="233">
        <f t="shared" si="2"/>
        <v>218.625</v>
      </c>
      <c r="Q11" s="229">
        <f t="shared" si="3"/>
        <v>8</v>
      </c>
      <c r="R11" s="229">
        <f t="shared" si="4"/>
        <v>1757</v>
      </c>
      <c r="S11" s="277">
        <f>SUM(R10:R11)</f>
        <v>3488</v>
      </c>
      <c r="T11" s="224">
        <v>22</v>
      </c>
      <c r="U11" s="32">
        <f>ROUND(S11/2,0)</f>
        <v>1744</v>
      </c>
      <c r="V11" s="326">
        <f t="shared" si="5"/>
        <v>-15</v>
      </c>
    </row>
    <row r="12" spans="1:22" s="30" customFormat="1" ht="18" customHeight="1">
      <c r="A12" s="289">
        <v>5</v>
      </c>
      <c r="B12" s="229" t="str">
        <f>LOOKUP($T12,Namen!$A$6:$A$117,Namen!$B$6:$B$117)</f>
        <v>Gede Mudana</v>
      </c>
      <c r="C12" s="229" t="str">
        <f>LOOKUP($T12,Namen!$A$6:$A$117,Namen!$C$6:$C$117)</f>
        <v>BE</v>
      </c>
      <c r="D12" s="229">
        <f>LOOKUP($T12,Namen!$A$6:$A$117,Namen!$D$6:$D$117)</f>
        <v>13</v>
      </c>
      <c r="E12" s="230">
        <f>LOOKUP($T12,Namen!$A$6:$A$117,Namen!$E$6:$E$117)</f>
        <v>0</v>
      </c>
      <c r="F12" s="230">
        <f t="shared" si="0"/>
        <v>8</v>
      </c>
      <c r="G12" s="231">
        <v>199</v>
      </c>
      <c r="H12" s="231">
        <v>190</v>
      </c>
      <c r="I12" s="231">
        <v>209</v>
      </c>
      <c r="J12" s="231">
        <v>168</v>
      </c>
      <c r="K12" s="231">
        <v>197</v>
      </c>
      <c r="L12" s="231">
        <v>249</v>
      </c>
      <c r="M12" s="231">
        <v>213</v>
      </c>
      <c r="N12" s="231">
        <v>226</v>
      </c>
      <c r="O12" s="232">
        <f t="shared" si="1"/>
        <v>1651</v>
      </c>
      <c r="P12" s="233">
        <f t="shared" si="2"/>
        <v>206.375</v>
      </c>
      <c r="Q12" s="229">
        <f t="shared" si="3"/>
        <v>104</v>
      </c>
      <c r="R12" s="229">
        <f t="shared" si="4"/>
        <v>1755</v>
      </c>
      <c r="S12" s="279">
        <f>S13</f>
        <v>3432</v>
      </c>
      <c r="T12" s="224">
        <v>63</v>
      </c>
      <c r="U12" s="32"/>
      <c r="V12" s="326">
        <f t="shared" si="5"/>
        <v>-2</v>
      </c>
    </row>
    <row r="13" spans="1:22" s="30" customFormat="1" ht="18" customHeight="1">
      <c r="A13" s="253"/>
      <c r="B13" s="229" t="str">
        <f>LOOKUP($T13,Namen!$A$6:$A$117,Namen!$B$6:$B$117)</f>
        <v>Gede Suyasa</v>
      </c>
      <c r="C13" s="229" t="str">
        <f>LOOKUP($T13,Namen!$A$6:$A$117,Namen!$C$6:$C$117)</f>
        <v>BE</v>
      </c>
      <c r="D13" s="229">
        <f>LOOKUP($T13,Namen!$A$6:$A$117,Namen!$D$6:$D$117)</f>
        <v>10</v>
      </c>
      <c r="E13" s="230">
        <f>LOOKUP($T13,Namen!$A$6:$A$117,Namen!$E$6:$E$117)</f>
        <v>0</v>
      </c>
      <c r="F13" s="230">
        <f t="shared" si="0"/>
        <v>8</v>
      </c>
      <c r="G13" s="231">
        <v>166</v>
      </c>
      <c r="H13" s="231">
        <v>219</v>
      </c>
      <c r="I13" s="231">
        <v>215</v>
      </c>
      <c r="J13" s="231">
        <v>203</v>
      </c>
      <c r="K13" s="231">
        <v>176</v>
      </c>
      <c r="L13" s="231">
        <v>216</v>
      </c>
      <c r="M13" s="231">
        <v>159</v>
      </c>
      <c r="N13" s="231">
        <v>243</v>
      </c>
      <c r="O13" s="232">
        <f t="shared" si="1"/>
        <v>1597</v>
      </c>
      <c r="P13" s="233">
        <f t="shared" si="2"/>
        <v>199.625</v>
      </c>
      <c r="Q13" s="229">
        <f t="shared" si="3"/>
        <v>80</v>
      </c>
      <c r="R13" s="229">
        <f t="shared" si="4"/>
        <v>1677</v>
      </c>
      <c r="S13" s="277">
        <f>SUM(R12:R13)</f>
        <v>3432</v>
      </c>
      <c r="T13" s="224">
        <v>64</v>
      </c>
      <c r="U13" s="32">
        <f>ROUND(S13/2,0)</f>
        <v>1716</v>
      </c>
      <c r="V13" s="326">
        <f t="shared" si="5"/>
        <v>1</v>
      </c>
    </row>
    <row r="14" spans="1:22" s="30" customFormat="1" ht="18" customHeight="1">
      <c r="A14" s="289">
        <v>6</v>
      </c>
      <c r="B14" s="229" t="str">
        <f>LOOKUP($T14,Namen!$A$6:$A$117,Namen!$B$6:$B$117)</f>
        <v>Miracula Giuseppe</v>
      </c>
      <c r="C14" s="229" t="str">
        <f>LOOKUP($T14,Namen!$A$6:$A$117,Namen!$C$6:$C$117)</f>
        <v>SZ</v>
      </c>
      <c r="D14" s="229">
        <f>LOOKUP($T14,Namen!$A$6:$A$117,Namen!$D$6:$D$117)</f>
        <v>7</v>
      </c>
      <c r="E14" s="230">
        <f>LOOKUP($T14,Namen!$A$6:$A$117,Namen!$E$6:$E$117)</f>
        <v>0</v>
      </c>
      <c r="F14" s="230">
        <f t="shared" si="0"/>
        <v>8</v>
      </c>
      <c r="G14" s="231">
        <v>191</v>
      </c>
      <c r="H14" s="231">
        <v>225</v>
      </c>
      <c r="I14" s="231">
        <v>216</v>
      </c>
      <c r="J14" s="231">
        <v>189</v>
      </c>
      <c r="K14" s="231">
        <v>190</v>
      </c>
      <c r="L14" s="231">
        <v>148</v>
      </c>
      <c r="M14" s="231">
        <v>233</v>
      </c>
      <c r="N14" s="231">
        <v>256</v>
      </c>
      <c r="O14" s="232">
        <f t="shared" si="1"/>
        <v>1648</v>
      </c>
      <c r="P14" s="233">
        <f t="shared" si="2"/>
        <v>206</v>
      </c>
      <c r="Q14" s="229">
        <f t="shared" si="3"/>
        <v>56</v>
      </c>
      <c r="R14" s="229">
        <f t="shared" si="4"/>
        <v>1704</v>
      </c>
      <c r="S14" s="279">
        <f>S15</f>
        <v>3385</v>
      </c>
      <c r="T14" s="224">
        <v>19</v>
      </c>
      <c r="U14" s="32"/>
      <c r="V14" s="326">
        <f t="shared" si="5"/>
        <v>5</v>
      </c>
    </row>
    <row r="15" spans="1:22" s="30" customFormat="1" ht="18" customHeight="1">
      <c r="A15" s="253"/>
      <c r="B15" s="229" t="str">
        <f>LOOKUP($T15,Namen!$A$6:$A$117,Namen!$B$6:$B$117)</f>
        <v>Riccardi Fillipo</v>
      </c>
      <c r="C15" s="229" t="str">
        <f>LOOKUP($T15,Namen!$A$6:$A$117,Namen!$C$6:$C$117)</f>
        <v>SZ</v>
      </c>
      <c r="D15" s="229">
        <f>LOOKUP($T15,Namen!$A$6:$A$117,Namen!$D$6:$D$117)</f>
        <v>14</v>
      </c>
      <c r="E15" s="230">
        <f>LOOKUP($T15,Namen!$A$6:$A$117,Namen!$E$6:$E$117)</f>
        <v>0</v>
      </c>
      <c r="F15" s="230">
        <f t="shared" si="0"/>
        <v>8</v>
      </c>
      <c r="G15" s="231">
        <v>213</v>
      </c>
      <c r="H15" s="231">
        <v>168</v>
      </c>
      <c r="I15" s="231">
        <v>197</v>
      </c>
      <c r="J15" s="231">
        <v>183</v>
      </c>
      <c r="K15" s="231">
        <v>202</v>
      </c>
      <c r="L15" s="231">
        <v>199</v>
      </c>
      <c r="M15" s="231">
        <v>161</v>
      </c>
      <c r="N15" s="231">
        <v>246</v>
      </c>
      <c r="O15" s="232">
        <f t="shared" si="1"/>
        <v>1569</v>
      </c>
      <c r="P15" s="233">
        <f t="shared" si="2"/>
        <v>196.125</v>
      </c>
      <c r="Q15" s="229">
        <f t="shared" si="3"/>
        <v>112</v>
      </c>
      <c r="R15" s="229">
        <f t="shared" si="4"/>
        <v>1681</v>
      </c>
      <c r="S15" s="277">
        <f>SUM(R14:R15)</f>
        <v>3385</v>
      </c>
      <c r="T15" s="224">
        <v>20</v>
      </c>
      <c r="U15" s="32">
        <f>ROUND(S15/2,0)</f>
        <v>1693</v>
      </c>
      <c r="V15" s="326">
        <f t="shared" si="5"/>
        <v>4</v>
      </c>
    </row>
    <row r="16" spans="1:22" s="30" customFormat="1" ht="18" customHeight="1">
      <c r="A16" s="289">
        <v>7</v>
      </c>
      <c r="B16" s="229" t="str">
        <f>LOOKUP($T16,Namen!$A$6:$A$117,Namen!$B$6:$B$117)</f>
        <v>Jauch Daniel </v>
      </c>
      <c r="C16" s="229" t="str">
        <f>LOOKUP($T16,Namen!$A$6:$A$117,Namen!$C$6:$C$117)</f>
        <v>BE</v>
      </c>
      <c r="D16" s="229">
        <f>LOOKUP($T16,Namen!$A$6:$A$117,Namen!$D$6:$D$117)</f>
        <v>4</v>
      </c>
      <c r="E16" s="230">
        <f>LOOKUP($T16,Namen!$A$6:$A$117,Namen!$E$6:$E$117)</f>
        <v>0</v>
      </c>
      <c r="F16" s="230">
        <f t="shared" si="0"/>
        <v>8</v>
      </c>
      <c r="G16" s="231">
        <v>204</v>
      </c>
      <c r="H16" s="231">
        <v>214</v>
      </c>
      <c r="I16" s="231">
        <v>234</v>
      </c>
      <c r="J16" s="231">
        <v>213</v>
      </c>
      <c r="K16" s="231">
        <v>189</v>
      </c>
      <c r="L16" s="231">
        <v>278</v>
      </c>
      <c r="M16" s="231">
        <v>194</v>
      </c>
      <c r="N16" s="231">
        <v>232</v>
      </c>
      <c r="O16" s="232">
        <f t="shared" si="1"/>
        <v>1758</v>
      </c>
      <c r="P16" s="233">
        <f t="shared" si="2"/>
        <v>219.75</v>
      </c>
      <c r="Q16" s="229">
        <f t="shared" si="3"/>
        <v>32</v>
      </c>
      <c r="R16" s="229">
        <f t="shared" si="4"/>
        <v>1790</v>
      </c>
      <c r="S16" s="279">
        <f>S17</f>
        <v>3375</v>
      </c>
      <c r="T16" s="224">
        <v>79</v>
      </c>
      <c r="U16" s="32"/>
      <c r="V16" s="326">
        <f t="shared" si="5"/>
        <v>-14</v>
      </c>
    </row>
    <row r="17" spans="1:22" s="30" customFormat="1" ht="18" customHeight="1">
      <c r="A17" s="253"/>
      <c r="B17" s="229" t="str">
        <f>LOOKUP($T17,Namen!$A$6:$A$117,Namen!$B$6:$B$117)</f>
        <v>Hubacher Stefan </v>
      </c>
      <c r="C17" s="229" t="str">
        <f>LOOKUP($T17,Namen!$A$6:$A$117,Namen!$C$6:$C$117)</f>
        <v>BE</v>
      </c>
      <c r="D17" s="229">
        <f>LOOKUP($T17,Namen!$A$6:$A$117,Namen!$D$6:$D$117)</f>
        <v>17</v>
      </c>
      <c r="E17" s="230">
        <f>LOOKUP($T17,Namen!$A$6:$A$117,Namen!$E$6:$E$117)</f>
        <v>0</v>
      </c>
      <c r="F17" s="230">
        <f t="shared" si="0"/>
        <v>8</v>
      </c>
      <c r="G17" s="231">
        <v>169</v>
      </c>
      <c r="H17" s="231">
        <v>166</v>
      </c>
      <c r="I17" s="231">
        <v>172</v>
      </c>
      <c r="J17" s="231">
        <v>178</v>
      </c>
      <c r="K17" s="231">
        <v>177</v>
      </c>
      <c r="L17" s="231">
        <v>172</v>
      </c>
      <c r="M17" s="231">
        <v>205</v>
      </c>
      <c r="N17" s="231">
        <v>210</v>
      </c>
      <c r="O17" s="232">
        <f t="shared" si="1"/>
        <v>1449</v>
      </c>
      <c r="P17" s="233">
        <f t="shared" si="2"/>
        <v>181.125</v>
      </c>
      <c r="Q17" s="229">
        <f t="shared" si="3"/>
        <v>136</v>
      </c>
      <c r="R17" s="229">
        <f t="shared" si="4"/>
        <v>1585</v>
      </c>
      <c r="S17" s="277">
        <f>SUM(R16:R17)</f>
        <v>3375</v>
      </c>
      <c r="T17" s="224">
        <v>80</v>
      </c>
      <c r="U17" s="32">
        <f>ROUND(S17/2,0)</f>
        <v>1688</v>
      </c>
      <c r="V17" s="326">
        <f t="shared" si="5"/>
        <v>17</v>
      </c>
    </row>
    <row r="18" spans="1:22" s="30" customFormat="1" ht="18" customHeight="1">
      <c r="A18" s="289">
        <v>8</v>
      </c>
      <c r="B18" s="229" t="str">
        <f>LOOKUP($T18,Namen!$A$6:$A$117,Namen!$B$6:$B$117)</f>
        <v>Bernd Biallas</v>
      </c>
      <c r="C18" s="229" t="str">
        <f>LOOKUP($T18,Namen!$A$6:$A$117,Namen!$C$6:$C$117)</f>
        <v>GE</v>
      </c>
      <c r="D18" s="229">
        <f>LOOKUP($T18,Namen!$A$6:$A$117,Namen!$D$6:$D$117)</f>
        <v>12</v>
      </c>
      <c r="E18" s="230">
        <f>LOOKUP($T18,Namen!$A$6:$A$117,Namen!$E$6:$E$117)</f>
        <v>0</v>
      </c>
      <c r="F18" s="230">
        <f t="shared" si="0"/>
        <v>8</v>
      </c>
      <c r="G18" s="231">
        <v>206</v>
      </c>
      <c r="H18" s="231">
        <v>219</v>
      </c>
      <c r="I18" s="231">
        <v>216</v>
      </c>
      <c r="J18" s="231">
        <v>223</v>
      </c>
      <c r="K18" s="231">
        <v>225</v>
      </c>
      <c r="L18" s="231">
        <v>234</v>
      </c>
      <c r="M18" s="231">
        <v>203</v>
      </c>
      <c r="N18" s="231">
        <v>165</v>
      </c>
      <c r="O18" s="232">
        <f t="shared" si="1"/>
        <v>1691</v>
      </c>
      <c r="P18" s="233">
        <f t="shared" si="2"/>
        <v>211.375</v>
      </c>
      <c r="Q18" s="229">
        <f t="shared" si="3"/>
        <v>96</v>
      </c>
      <c r="R18" s="229">
        <f t="shared" si="4"/>
        <v>1787</v>
      </c>
      <c r="S18" s="279">
        <f>S19</f>
        <v>3371</v>
      </c>
      <c r="T18" s="224">
        <v>83</v>
      </c>
      <c r="U18" s="32"/>
      <c r="V18" s="326">
        <f t="shared" si="5"/>
        <v>-13</v>
      </c>
    </row>
    <row r="19" spans="1:22" s="30" customFormat="1" ht="18" customHeight="1">
      <c r="A19" s="253"/>
      <c r="B19" s="229" t="str">
        <f>LOOKUP($T19,Namen!$A$6:$A$117,Namen!$B$6:$B$117)</f>
        <v>Schwab Martin</v>
      </c>
      <c r="C19" s="229" t="str">
        <f>LOOKUP($T19,Namen!$A$6:$A$117,Namen!$C$6:$C$117)</f>
        <v>BE</v>
      </c>
      <c r="D19" s="229">
        <f>LOOKUP($T19,Namen!$A$6:$A$117,Namen!$D$6:$D$117)</f>
        <v>14</v>
      </c>
      <c r="E19" s="230">
        <f>LOOKUP($T19,Namen!$A$6:$A$117,Namen!$E$6:$E$117)</f>
        <v>0</v>
      </c>
      <c r="F19" s="230">
        <f t="shared" si="0"/>
        <v>8</v>
      </c>
      <c r="G19" s="231">
        <v>146</v>
      </c>
      <c r="H19" s="231">
        <v>190</v>
      </c>
      <c r="I19" s="231">
        <v>195</v>
      </c>
      <c r="J19" s="231">
        <v>167</v>
      </c>
      <c r="K19" s="231">
        <v>139</v>
      </c>
      <c r="L19" s="231">
        <v>255</v>
      </c>
      <c r="M19" s="231">
        <v>212</v>
      </c>
      <c r="N19" s="231">
        <v>168</v>
      </c>
      <c r="O19" s="232">
        <f t="shared" si="1"/>
        <v>1472</v>
      </c>
      <c r="P19" s="233">
        <f t="shared" si="2"/>
        <v>184</v>
      </c>
      <c r="Q19" s="229">
        <f t="shared" si="3"/>
        <v>112</v>
      </c>
      <c r="R19" s="229">
        <f t="shared" si="4"/>
        <v>1584</v>
      </c>
      <c r="S19" s="277">
        <f>SUM(R18:R19)</f>
        <v>3371</v>
      </c>
      <c r="T19" s="224">
        <v>84</v>
      </c>
      <c r="U19" s="32">
        <f>ROUND(S19/2,0)</f>
        <v>1686</v>
      </c>
      <c r="V19" s="326">
        <f t="shared" si="5"/>
        <v>11</v>
      </c>
    </row>
    <row r="20" spans="1:22" s="30" customFormat="1" ht="18" customHeight="1">
      <c r="A20" s="289">
        <v>9</v>
      </c>
      <c r="B20" s="229" t="str">
        <f>LOOKUP($T20,Namen!$A$6:$A$117,Namen!$B$6:$B$117)</f>
        <v>Kuratli Walter</v>
      </c>
      <c r="C20" s="229" t="str">
        <f>LOOKUP($T20,Namen!$A$6:$A$117,Namen!$C$6:$C$117)</f>
        <v>TG</v>
      </c>
      <c r="D20" s="229">
        <f>LOOKUP($T20,Namen!$A$6:$A$117,Namen!$D$6:$D$117)</f>
        <v>5</v>
      </c>
      <c r="E20" s="230">
        <f>LOOKUP($T20,Namen!$A$6:$A$117,Namen!$E$6:$E$117)</f>
        <v>0</v>
      </c>
      <c r="F20" s="230">
        <f t="shared" si="0"/>
        <v>8</v>
      </c>
      <c r="G20" s="231">
        <v>195</v>
      </c>
      <c r="H20" s="231">
        <v>210</v>
      </c>
      <c r="I20" s="231">
        <v>199</v>
      </c>
      <c r="J20" s="231">
        <v>192</v>
      </c>
      <c r="K20" s="231">
        <v>212</v>
      </c>
      <c r="L20" s="231">
        <v>215</v>
      </c>
      <c r="M20" s="231">
        <v>203</v>
      </c>
      <c r="N20" s="231">
        <v>182</v>
      </c>
      <c r="O20" s="232">
        <f t="shared" si="1"/>
        <v>1608</v>
      </c>
      <c r="P20" s="233">
        <f t="shared" si="2"/>
        <v>201</v>
      </c>
      <c r="Q20" s="229">
        <f t="shared" si="3"/>
        <v>40</v>
      </c>
      <c r="R20" s="229">
        <f t="shared" si="4"/>
        <v>1648</v>
      </c>
      <c r="S20" s="279">
        <f>S21</f>
        <v>3370</v>
      </c>
      <c r="T20" s="224">
        <v>11</v>
      </c>
      <c r="U20" s="32"/>
      <c r="V20" s="326">
        <f t="shared" si="5"/>
        <v>-3</v>
      </c>
    </row>
    <row r="21" spans="1:22" s="30" customFormat="1" ht="18" customHeight="1">
      <c r="A21" s="253"/>
      <c r="B21" s="229" t="str">
        <f>LOOKUP($T21,Namen!$A$6:$A$117,Namen!$B$6:$B$117)</f>
        <v>Caplette Claude</v>
      </c>
      <c r="C21" s="229" t="str">
        <f>LOOKUP($T21,Namen!$A$6:$A$117,Namen!$C$6:$C$117)</f>
        <v>TG</v>
      </c>
      <c r="D21" s="229">
        <f>LOOKUP($T21,Namen!$A$6:$A$117,Namen!$D$6:$D$117)</f>
        <v>11</v>
      </c>
      <c r="E21" s="230">
        <f>LOOKUP($T21,Namen!$A$6:$A$117,Namen!$E$6:$E$117)</f>
        <v>0</v>
      </c>
      <c r="F21" s="230">
        <f t="shared" si="0"/>
        <v>8</v>
      </c>
      <c r="G21" s="231">
        <v>217</v>
      </c>
      <c r="H21" s="231">
        <v>214</v>
      </c>
      <c r="I21" s="231">
        <v>175</v>
      </c>
      <c r="J21" s="231">
        <v>200</v>
      </c>
      <c r="K21" s="231">
        <v>235</v>
      </c>
      <c r="L21" s="231">
        <v>208</v>
      </c>
      <c r="M21" s="231">
        <v>193</v>
      </c>
      <c r="N21" s="231">
        <v>192</v>
      </c>
      <c r="O21" s="232">
        <f t="shared" si="1"/>
        <v>1634</v>
      </c>
      <c r="P21" s="233">
        <f t="shared" si="2"/>
        <v>204.25</v>
      </c>
      <c r="Q21" s="229">
        <f t="shared" si="3"/>
        <v>88</v>
      </c>
      <c r="R21" s="229">
        <f t="shared" si="4"/>
        <v>1722</v>
      </c>
      <c r="S21" s="277">
        <f>SUM(R20:R21)</f>
        <v>3370</v>
      </c>
      <c r="T21" s="224">
        <v>12</v>
      </c>
      <c r="U21" s="32">
        <f>ROUND(S21/2,0)</f>
        <v>1685</v>
      </c>
      <c r="V21" s="326">
        <f t="shared" si="5"/>
        <v>-5</v>
      </c>
    </row>
    <row r="22" spans="1:22" s="30" customFormat="1" ht="18" customHeight="1">
      <c r="A22" s="289">
        <v>10</v>
      </c>
      <c r="B22" s="229" t="str">
        <f>LOOKUP($T22,Namen!$A$6:$A$117,Namen!$B$6:$B$117)</f>
        <v>Ineichen Rinaldo</v>
      </c>
      <c r="C22" s="229" t="str">
        <f>LOOKUP($T22,Namen!$A$6:$A$117,Namen!$C$6:$C$117)</f>
        <v>ZH</v>
      </c>
      <c r="D22" s="229">
        <f>LOOKUP($T22,Namen!$A$6:$A$117,Namen!$D$6:$D$117)</f>
        <v>6</v>
      </c>
      <c r="E22" s="230">
        <f>LOOKUP($T22,Namen!$A$6:$A$117,Namen!$E$6:$E$117)</f>
        <v>0</v>
      </c>
      <c r="F22" s="230">
        <f t="shared" si="0"/>
        <v>8</v>
      </c>
      <c r="G22" s="231">
        <v>214</v>
      </c>
      <c r="H22" s="231">
        <v>277</v>
      </c>
      <c r="I22" s="231">
        <v>209</v>
      </c>
      <c r="J22" s="231">
        <v>212</v>
      </c>
      <c r="K22" s="231">
        <v>249</v>
      </c>
      <c r="L22" s="231">
        <v>221</v>
      </c>
      <c r="M22" s="231">
        <v>213</v>
      </c>
      <c r="N22" s="231">
        <v>178</v>
      </c>
      <c r="O22" s="232">
        <f t="shared" si="1"/>
        <v>1773</v>
      </c>
      <c r="P22" s="233">
        <f t="shared" si="2"/>
        <v>221.625</v>
      </c>
      <c r="Q22" s="229">
        <f t="shared" si="3"/>
        <v>48</v>
      </c>
      <c r="R22" s="229">
        <f t="shared" si="4"/>
        <v>1821</v>
      </c>
      <c r="S22" s="279">
        <f>S23</f>
        <v>3354</v>
      </c>
      <c r="T22" s="224">
        <v>15</v>
      </c>
      <c r="U22" s="32"/>
      <c r="V22" s="326">
        <f t="shared" si="5"/>
        <v>-19</v>
      </c>
    </row>
    <row r="23" spans="1:22" s="30" customFormat="1" ht="18" customHeight="1">
      <c r="A23" s="253"/>
      <c r="B23" s="229" t="str">
        <f>LOOKUP($T23,Namen!$A$6:$A$117,Namen!$B$6:$B$117)</f>
        <v>Simsek Thomson</v>
      </c>
      <c r="C23" s="229" t="str">
        <f>LOOKUP($T23,Namen!$A$6:$A$117,Namen!$C$6:$C$117)</f>
        <v>ZH</v>
      </c>
      <c r="D23" s="229">
        <f>LOOKUP($T23,Namen!$A$6:$A$117,Namen!$D$6:$D$117)</f>
        <v>8</v>
      </c>
      <c r="E23" s="230">
        <f>LOOKUP($T23,Namen!$A$6:$A$117,Namen!$E$6:$E$117)</f>
        <v>0</v>
      </c>
      <c r="F23" s="230">
        <f t="shared" si="0"/>
        <v>8</v>
      </c>
      <c r="G23" s="231">
        <v>203</v>
      </c>
      <c r="H23" s="231">
        <v>217</v>
      </c>
      <c r="I23" s="231">
        <v>214</v>
      </c>
      <c r="J23" s="231">
        <v>190</v>
      </c>
      <c r="K23" s="231">
        <v>170</v>
      </c>
      <c r="L23" s="231">
        <v>170</v>
      </c>
      <c r="M23" s="231">
        <v>129</v>
      </c>
      <c r="N23" s="231">
        <v>176</v>
      </c>
      <c r="O23" s="232">
        <f t="shared" si="1"/>
        <v>1469</v>
      </c>
      <c r="P23" s="233">
        <f t="shared" si="2"/>
        <v>183.625</v>
      </c>
      <c r="Q23" s="229">
        <f t="shared" si="3"/>
        <v>64</v>
      </c>
      <c r="R23" s="229">
        <f t="shared" si="4"/>
        <v>1533</v>
      </c>
      <c r="S23" s="277">
        <f>SUM(R22:R23)</f>
        <v>3354</v>
      </c>
      <c r="T23" s="224">
        <v>16</v>
      </c>
      <c r="U23" s="32">
        <f>ROUND(S23/2,0)</f>
        <v>1677</v>
      </c>
      <c r="V23" s="326">
        <f t="shared" si="5"/>
        <v>4</v>
      </c>
    </row>
    <row r="24" spans="1:22" s="30" customFormat="1" ht="18" customHeight="1">
      <c r="A24" s="289">
        <v>11</v>
      </c>
      <c r="B24" s="229" t="str">
        <f>LOOKUP($T24,Namen!$A$6:$A$117,Namen!$B$6:$B$117)</f>
        <v>Bloch Stefan</v>
      </c>
      <c r="C24" s="229" t="str">
        <f>LOOKUP($T24,Namen!$A$6:$A$117,Namen!$C$6:$C$117)</f>
        <v>BE</v>
      </c>
      <c r="D24" s="229">
        <f>LOOKUP($T24,Namen!$A$6:$A$117,Namen!$D$6:$D$117)</f>
        <v>0</v>
      </c>
      <c r="E24" s="230">
        <f>LOOKUP($T24,Namen!$A$6:$A$117,Namen!$E$6:$E$117)</f>
        <v>0</v>
      </c>
      <c r="F24" s="230">
        <f t="shared" si="0"/>
        <v>8</v>
      </c>
      <c r="G24" s="231">
        <v>233</v>
      </c>
      <c r="H24" s="231">
        <v>146</v>
      </c>
      <c r="I24" s="231">
        <v>187</v>
      </c>
      <c r="J24" s="231">
        <v>246</v>
      </c>
      <c r="K24" s="231">
        <v>247</v>
      </c>
      <c r="L24" s="231">
        <v>213</v>
      </c>
      <c r="M24" s="231">
        <v>213</v>
      </c>
      <c r="N24" s="231">
        <v>172</v>
      </c>
      <c r="O24" s="232">
        <f t="shared" si="1"/>
        <v>1657</v>
      </c>
      <c r="P24" s="233">
        <f t="shared" si="2"/>
        <v>207.125</v>
      </c>
      <c r="Q24" s="229">
        <f t="shared" si="3"/>
        <v>0</v>
      </c>
      <c r="R24" s="229">
        <f t="shared" si="4"/>
        <v>1657</v>
      </c>
      <c r="S24" s="279">
        <f>S25</f>
        <v>3332</v>
      </c>
      <c r="T24" s="224">
        <v>57</v>
      </c>
      <c r="U24" s="32"/>
      <c r="V24" s="326">
        <f t="shared" si="5"/>
        <v>-8</v>
      </c>
    </row>
    <row r="25" spans="1:22" s="30" customFormat="1" ht="18" customHeight="1">
      <c r="A25" s="253"/>
      <c r="B25" s="229" t="str">
        <f>LOOKUP($T25,Namen!$A$6:$A$117,Namen!$B$6:$B$117)</f>
        <v>Deiner Michael</v>
      </c>
      <c r="C25" s="229" t="str">
        <f>LOOKUP($T25,Namen!$A$6:$A$117,Namen!$C$6:$C$117)</f>
        <v>BS</v>
      </c>
      <c r="D25" s="229">
        <f>LOOKUP($T25,Namen!$A$6:$A$117,Namen!$D$6:$D$117)</f>
        <v>1</v>
      </c>
      <c r="E25" s="230">
        <f>LOOKUP($T25,Namen!$A$6:$A$117,Namen!$E$6:$E$117)</f>
        <v>0</v>
      </c>
      <c r="F25" s="230">
        <f t="shared" si="0"/>
        <v>8</v>
      </c>
      <c r="G25" s="231">
        <v>153</v>
      </c>
      <c r="H25" s="231">
        <v>233</v>
      </c>
      <c r="I25" s="231">
        <v>147</v>
      </c>
      <c r="J25" s="231">
        <v>244</v>
      </c>
      <c r="K25" s="231">
        <v>209</v>
      </c>
      <c r="L25" s="231">
        <v>227</v>
      </c>
      <c r="M25" s="231">
        <v>243</v>
      </c>
      <c r="N25" s="231">
        <v>211</v>
      </c>
      <c r="O25" s="232">
        <f t="shared" si="1"/>
        <v>1667</v>
      </c>
      <c r="P25" s="233">
        <f t="shared" si="2"/>
        <v>208.375</v>
      </c>
      <c r="Q25" s="229">
        <f t="shared" si="3"/>
        <v>8</v>
      </c>
      <c r="R25" s="229">
        <f t="shared" si="4"/>
        <v>1675</v>
      </c>
      <c r="S25" s="277">
        <f>SUM(R24:R25)</f>
        <v>3332</v>
      </c>
      <c r="T25" s="224">
        <v>58</v>
      </c>
      <c r="U25" s="32">
        <f>ROUND(S25/2,0)</f>
        <v>1666</v>
      </c>
      <c r="V25" s="326">
        <f t="shared" si="5"/>
        <v>-2</v>
      </c>
    </row>
    <row r="26" spans="1:22" s="30" customFormat="1" ht="18" customHeight="1">
      <c r="A26" s="289">
        <v>12</v>
      </c>
      <c r="B26" s="229" t="str">
        <f>LOOKUP($T26,Namen!$A$6:$A$117,Namen!$B$6:$B$117)</f>
        <v>Stuker Roland</v>
      </c>
      <c r="C26" s="229" t="str">
        <f>LOOKUP($T26,Namen!$A$6:$A$117,Namen!$C$6:$C$117)</f>
        <v>BE</v>
      </c>
      <c r="D26" s="229">
        <f>LOOKUP($T26,Namen!$A$6:$A$117,Namen!$D$6:$D$117)</f>
        <v>5</v>
      </c>
      <c r="E26" s="230">
        <f>LOOKUP($T26,Namen!$A$6:$A$117,Namen!$E$6:$E$117)</f>
        <v>0</v>
      </c>
      <c r="F26" s="230">
        <f t="shared" si="0"/>
        <v>8</v>
      </c>
      <c r="G26" s="231">
        <v>210</v>
      </c>
      <c r="H26" s="231">
        <v>203</v>
      </c>
      <c r="I26" s="231">
        <v>225</v>
      </c>
      <c r="J26" s="231">
        <v>156</v>
      </c>
      <c r="K26" s="231">
        <v>208</v>
      </c>
      <c r="L26" s="231">
        <v>214</v>
      </c>
      <c r="M26" s="231">
        <v>177</v>
      </c>
      <c r="N26" s="231">
        <v>215</v>
      </c>
      <c r="O26" s="232">
        <f t="shared" si="1"/>
        <v>1608</v>
      </c>
      <c r="P26" s="233">
        <f t="shared" si="2"/>
        <v>201</v>
      </c>
      <c r="Q26" s="229">
        <f t="shared" si="3"/>
        <v>40</v>
      </c>
      <c r="R26" s="229">
        <f t="shared" si="4"/>
        <v>1648</v>
      </c>
      <c r="S26" s="279">
        <f>S27</f>
        <v>3327</v>
      </c>
      <c r="T26" s="224">
        <v>43</v>
      </c>
      <c r="U26" s="32"/>
      <c r="V26" s="326">
        <f t="shared" si="5"/>
        <v>-2</v>
      </c>
    </row>
    <row r="27" spans="1:22" s="30" customFormat="1" ht="18" customHeight="1">
      <c r="A27" s="253"/>
      <c r="B27" s="229" t="str">
        <f>LOOKUP($T27,Namen!$A$6:$A$117,Namen!$B$6:$B$117)</f>
        <v>Bösiger Andreas</v>
      </c>
      <c r="C27" s="229" t="str">
        <f>LOOKUP($T27,Namen!$A$6:$A$117,Namen!$C$6:$C$117)</f>
        <v>BE</v>
      </c>
      <c r="D27" s="229">
        <f>LOOKUP($T27,Namen!$A$6:$A$117,Namen!$D$6:$D$117)</f>
        <v>2</v>
      </c>
      <c r="E27" s="230">
        <f>LOOKUP($T27,Namen!$A$6:$A$117,Namen!$E$6:$E$117)</f>
        <v>0</v>
      </c>
      <c r="F27" s="230">
        <f t="shared" si="0"/>
        <v>8</v>
      </c>
      <c r="G27" s="231">
        <v>166</v>
      </c>
      <c r="H27" s="231">
        <v>222</v>
      </c>
      <c r="I27" s="231">
        <v>253</v>
      </c>
      <c r="J27" s="231">
        <v>191</v>
      </c>
      <c r="K27" s="231">
        <v>200</v>
      </c>
      <c r="L27" s="231">
        <v>242</v>
      </c>
      <c r="M27" s="231">
        <v>204</v>
      </c>
      <c r="N27" s="231">
        <v>185</v>
      </c>
      <c r="O27" s="232">
        <f t="shared" si="1"/>
        <v>1663</v>
      </c>
      <c r="P27" s="233">
        <f t="shared" si="2"/>
        <v>207.875</v>
      </c>
      <c r="Q27" s="229">
        <f t="shared" si="3"/>
        <v>16</v>
      </c>
      <c r="R27" s="229">
        <f t="shared" si="4"/>
        <v>1679</v>
      </c>
      <c r="S27" s="277">
        <f>SUM(R26:R27)</f>
        <v>3327</v>
      </c>
      <c r="T27" s="224">
        <v>44</v>
      </c>
      <c r="U27" s="32">
        <f>ROUND(S27/2,0)</f>
        <v>1664</v>
      </c>
      <c r="V27" s="326">
        <f t="shared" si="5"/>
        <v>-8</v>
      </c>
    </row>
    <row r="28" spans="1:22" s="30" customFormat="1" ht="18" customHeight="1">
      <c r="A28" s="289">
        <v>13</v>
      </c>
      <c r="B28" s="229" t="str">
        <f>LOOKUP($T28,Namen!$A$6:$A$117,Namen!$B$6:$B$117)</f>
        <v>Ancarani Mario</v>
      </c>
      <c r="C28" s="229" t="str">
        <f>LOOKUP($T28,Namen!$A$6:$A$117,Namen!$C$6:$C$117)</f>
        <v>ZH</v>
      </c>
      <c r="D28" s="229">
        <f>LOOKUP($T28,Namen!$A$6:$A$117,Namen!$D$6:$D$117)</f>
        <v>8</v>
      </c>
      <c r="E28" s="230">
        <f>LOOKUP($T28,Namen!$A$6:$A$117,Namen!$E$6:$E$117)</f>
        <v>0</v>
      </c>
      <c r="F28" s="230">
        <f t="shared" si="0"/>
        <v>8</v>
      </c>
      <c r="G28" s="231">
        <v>169</v>
      </c>
      <c r="H28" s="231">
        <v>203</v>
      </c>
      <c r="I28" s="231">
        <v>167</v>
      </c>
      <c r="J28" s="231">
        <v>245</v>
      </c>
      <c r="K28" s="231">
        <v>232</v>
      </c>
      <c r="L28" s="231">
        <v>201</v>
      </c>
      <c r="M28" s="231">
        <v>182</v>
      </c>
      <c r="N28" s="231">
        <v>142</v>
      </c>
      <c r="O28" s="232">
        <f t="shared" si="1"/>
        <v>1541</v>
      </c>
      <c r="P28" s="233">
        <f t="shared" si="2"/>
        <v>192.625</v>
      </c>
      <c r="Q28" s="229">
        <f t="shared" si="3"/>
        <v>64</v>
      </c>
      <c r="R28" s="229">
        <f t="shared" si="4"/>
        <v>1605</v>
      </c>
      <c r="S28" s="279">
        <f>S29</f>
        <v>3299</v>
      </c>
      <c r="T28" s="224">
        <v>37</v>
      </c>
      <c r="U28" s="32"/>
      <c r="V28" s="326">
        <f t="shared" si="5"/>
        <v>-2</v>
      </c>
    </row>
    <row r="29" spans="1:22" s="30" customFormat="1" ht="18" customHeight="1">
      <c r="A29" s="253"/>
      <c r="B29" s="229" t="str">
        <f>LOOKUP($T29,Namen!$A$6:$A$117,Namen!$B$6:$B$117)</f>
        <v>Fiorani Lucio</v>
      </c>
      <c r="C29" s="229" t="str">
        <f>LOOKUP($T29,Namen!$A$6:$A$117,Namen!$C$6:$C$117)</f>
        <v>ZH</v>
      </c>
      <c r="D29" s="229">
        <f>LOOKUP($T29,Namen!$A$6:$A$117,Namen!$D$6:$D$117)</f>
        <v>0</v>
      </c>
      <c r="E29" s="230">
        <f>LOOKUP($T29,Namen!$A$6:$A$117,Namen!$E$6:$E$117)</f>
        <v>0</v>
      </c>
      <c r="F29" s="230">
        <f t="shared" si="0"/>
        <v>8</v>
      </c>
      <c r="G29" s="231">
        <v>290</v>
      </c>
      <c r="H29" s="231">
        <v>146</v>
      </c>
      <c r="I29" s="231">
        <v>206</v>
      </c>
      <c r="J29" s="231">
        <v>183</v>
      </c>
      <c r="K29" s="231">
        <v>203</v>
      </c>
      <c r="L29" s="231">
        <v>249</v>
      </c>
      <c r="M29" s="231">
        <v>234</v>
      </c>
      <c r="N29" s="231">
        <v>183</v>
      </c>
      <c r="O29" s="232">
        <f t="shared" si="1"/>
        <v>1694</v>
      </c>
      <c r="P29" s="233">
        <f t="shared" si="2"/>
        <v>211.75</v>
      </c>
      <c r="Q29" s="229">
        <f t="shared" si="3"/>
        <v>0</v>
      </c>
      <c r="R29" s="229">
        <f t="shared" si="4"/>
        <v>1694</v>
      </c>
      <c r="S29" s="277">
        <f>SUM(R28:R29)</f>
        <v>3299</v>
      </c>
      <c r="T29" s="224">
        <v>38</v>
      </c>
      <c r="U29" s="32">
        <f>ROUND(S29/2,0)</f>
        <v>1650</v>
      </c>
      <c r="V29" s="326">
        <f t="shared" si="5"/>
        <v>-8</v>
      </c>
    </row>
    <row r="30" spans="1:22" s="30" customFormat="1" ht="18" customHeight="1">
      <c r="A30" s="289">
        <v>14</v>
      </c>
      <c r="B30" s="229" t="str">
        <f>LOOKUP($T30,Namen!$A$6:$A$117,Namen!$B$6:$B$117)</f>
        <v>Seiler Franz</v>
      </c>
      <c r="C30" s="229" t="str">
        <f>LOOKUP($T30,Namen!$A$6:$A$117,Namen!$C$6:$C$117)</f>
        <v>TG</v>
      </c>
      <c r="D30" s="229">
        <f>LOOKUP($T30,Namen!$A$6:$A$117,Namen!$D$6:$D$117)</f>
        <v>5</v>
      </c>
      <c r="E30" s="230">
        <f>LOOKUP($T30,Namen!$A$6:$A$117,Namen!$E$6:$E$117)</f>
        <v>0</v>
      </c>
      <c r="F30" s="230">
        <f t="shared" si="0"/>
        <v>8</v>
      </c>
      <c r="G30" s="231">
        <v>228</v>
      </c>
      <c r="H30" s="231">
        <v>203</v>
      </c>
      <c r="I30" s="231">
        <v>189</v>
      </c>
      <c r="J30" s="231">
        <v>202</v>
      </c>
      <c r="K30" s="231">
        <v>215</v>
      </c>
      <c r="L30" s="231">
        <v>268</v>
      </c>
      <c r="M30" s="231">
        <v>181</v>
      </c>
      <c r="N30" s="231">
        <v>192</v>
      </c>
      <c r="O30" s="232">
        <f t="shared" si="1"/>
        <v>1678</v>
      </c>
      <c r="P30" s="233">
        <f t="shared" si="2"/>
        <v>209.75</v>
      </c>
      <c r="Q30" s="229">
        <f t="shared" si="3"/>
        <v>40</v>
      </c>
      <c r="R30" s="229">
        <f t="shared" si="4"/>
        <v>1718</v>
      </c>
      <c r="S30" s="279">
        <f>S31</f>
        <v>3279</v>
      </c>
      <c r="T30" s="224">
        <v>33</v>
      </c>
      <c r="U30" s="32"/>
      <c r="V30" s="326">
        <f t="shared" si="5"/>
        <v>-11</v>
      </c>
    </row>
    <row r="31" spans="1:22" s="30" customFormat="1" ht="18" customHeight="1">
      <c r="A31" s="253"/>
      <c r="B31" s="229" t="str">
        <f>LOOKUP($T31,Namen!$A$6:$A$117,Namen!$B$6:$B$117)</f>
        <v>Kläger Andreas</v>
      </c>
      <c r="C31" s="229" t="str">
        <f>LOOKUP($T31,Namen!$A$6:$A$117,Namen!$C$6:$C$117)</f>
        <v>TG</v>
      </c>
      <c r="D31" s="229">
        <f>LOOKUP($T31,Namen!$A$6:$A$117,Namen!$D$6:$D$117)</f>
        <v>3</v>
      </c>
      <c r="E31" s="230">
        <f>LOOKUP($T31,Namen!$A$6:$A$117,Namen!$E$6:$E$117)</f>
        <v>0</v>
      </c>
      <c r="F31" s="230">
        <f t="shared" si="0"/>
        <v>8</v>
      </c>
      <c r="G31" s="231">
        <v>160</v>
      </c>
      <c r="H31" s="231">
        <v>191</v>
      </c>
      <c r="I31" s="231">
        <v>189</v>
      </c>
      <c r="J31" s="231">
        <v>199</v>
      </c>
      <c r="K31" s="231">
        <v>213</v>
      </c>
      <c r="L31" s="231">
        <v>217</v>
      </c>
      <c r="M31" s="231">
        <v>192</v>
      </c>
      <c r="N31" s="231">
        <v>176</v>
      </c>
      <c r="O31" s="232">
        <f t="shared" si="1"/>
        <v>1537</v>
      </c>
      <c r="P31" s="233">
        <f t="shared" si="2"/>
        <v>192.125</v>
      </c>
      <c r="Q31" s="229">
        <f t="shared" si="3"/>
        <v>24</v>
      </c>
      <c r="R31" s="229">
        <f t="shared" si="4"/>
        <v>1561</v>
      </c>
      <c r="S31" s="277">
        <f>SUM(R30:R31)</f>
        <v>3279</v>
      </c>
      <c r="T31" s="224">
        <v>34</v>
      </c>
      <c r="U31" s="32">
        <f>ROUND(S31/2,0)</f>
        <v>1640</v>
      </c>
      <c r="V31" s="326">
        <f t="shared" si="5"/>
        <v>4</v>
      </c>
    </row>
    <row r="32" spans="1:22" s="30" customFormat="1" ht="18" customHeight="1">
      <c r="A32" s="289">
        <v>15</v>
      </c>
      <c r="B32" s="229" t="str">
        <f>LOOKUP($T32,Namen!$A$6:$A$117,Namen!$B$6:$B$117)</f>
        <v>Slagmolen Jarno</v>
      </c>
      <c r="C32" s="229" t="str">
        <f>LOOKUP($T32,Namen!$A$6:$A$117,Namen!$C$6:$C$117)</f>
        <v>ZH</v>
      </c>
      <c r="D32" s="229">
        <f>LOOKUP($T32,Namen!$A$6:$A$117,Namen!$D$6:$D$117)</f>
        <v>4</v>
      </c>
      <c r="E32" s="230">
        <f>LOOKUP($T32,Namen!$A$6:$A$117,Namen!$E$6:$E$117)</f>
        <v>0</v>
      </c>
      <c r="F32" s="230">
        <f t="shared" si="0"/>
        <v>8</v>
      </c>
      <c r="G32" s="231">
        <v>246</v>
      </c>
      <c r="H32" s="231">
        <v>227</v>
      </c>
      <c r="I32" s="231">
        <v>234</v>
      </c>
      <c r="J32" s="231">
        <v>177</v>
      </c>
      <c r="K32" s="231">
        <v>235</v>
      </c>
      <c r="L32" s="231">
        <v>246</v>
      </c>
      <c r="M32" s="231">
        <v>248</v>
      </c>
      <c r="N32" s="231">
        <v>156</v>
      </c>
      <c r="O32" s="232">
        <f t="shared" si="1"/>
        <v>1769</v>
      </c>
      <c r="P32" s="233">
        <f t="shared" si="2"/>
        <v>221.125</v>
      </c>
      <c r="Q32" s="229">
        <f t="shared" si="3"/>
        <v>32</v>
      </c>
      <c r="R32" s="229">
        <f t="shared" si="4"/>
        <v>1801</v>
      </c>
      <c r="S32" s="279">
        <f>S33</f>
        <v>3276</v>
      </c>
      <c r="T32" s="224">
        <v>49</v>
      </c>
      <c r="U32" s="32"/>
      <c r="V32" s="326">
        <f t="shared" si="5"/>
        <v>-17</v>
      </c>
    </row>
    <row r="33" spans="1:22" s="30" customFormat="1" ht="18" customHeight="1">
      <c r="A33" s="253"/>
      <c r="B33" s="229" t="str">
        <f>LOOKUP($T33,Namen!$A$6:$A$117,Namen!$B$6:$B$117)</f>
        <v>Hermann Markus</v>
      </c>
      <c r="C33" s="229" t="str">
        <f>LOOKUP($T33,Namen!$A$6:$A$117,Namen!$C$6:$C$117)</f>
        <v>ZH</v>
      </c>
      <c r="D33" s="229">
        <f>LOOKUP($T33,Namen!$A$6:$A$117,Namen!$D$6:$D$117)</f>
        <v>3</v>
      </c>
      <c r="E33" s="230">
        <f>LOOKUP($T33,Namen!$A$6:$A$117,Namen!$E$6:$E$117)</f>
        <v>0</v>
      </c>
      <c r="F33" s="230">
        <f t="shared" si="0"/>
        <v>8</v>
      </c>
      <c r="G33" s="231">
        <v>194</v>
      </c>
      <c r="H33" s="231">
        <v>219</v>
      </c>
      <c r="I33" s="231">
        <v>158</v>
      </c>
      <c r="J33" s="231">
        <v>191</v>
      </c>
      <c r="K33" s="231">
        <v>177</v>
      </c>
      <c r="L33" s="231">
        <v>177</v>
      </c>
      <c r="M33" s="231">
        <v>163</v>
      </c>
      <c r="N33" s="231">
        <v>172</v>
      </c>
      <c r="O33" s="232">
        <f t="shared" si="1"/>
        <v>1451</v>
      </c>
      <c r="P33" s="233">
        <f t="shared" si="2"/>
        <v>181.375</v>
      </c>
      <c r="Q33" s="229">
        <f t="shared" si="3"/>
        <v>24</v>
      </c>
      <c r="R33" s="229">
        <f t="shared" si="4"/>
        <v>1475</v>
      </c>
      <c r="S33" s="277">
        <f>SUM(R32:R33)</f>
        <v>3276</v>
      </c>
      <c r="T33" s="224">
        <v>50</v>
      </c>
      <c r="U33" s="32">
        <f>ROUND(S33/2,0)</f>
        <v>1638</v>
      </c>
      <c r="V33" s="326">
        <f t="shared" si="5"/>
        <v>9</v>
      </c>
    </row>
    <row r="34" spans="1:22" s="30" customFormat="1" ht="18" customHeight="1">
      <c r="A34" s="289">
        <v>16</v>
      </c>
      <c r="B34" s="229" t="str">
        <f>LOOKUP($T34,Namen!$A$6:$A$117,Namen!$B$6:$B$117)</f>
        <v>Meyer Samuel</v>
      </c>
      <c r="C34" s="229" t="str">
        <f>LOOKUP($T34,Namen!$A$6:$A$117,Namen!$C$6:$C$117)</f>
        <v>BE</v>
      </c>
      <c r="D34" s="229">
        <f>LOOKUP($T34,Namen!$A$6:$A$117,Namen!$D$6:$D$117)</f>
        <v>16</v>
      </c>
      <c r="E34" s="230">
        <f>LOOKUP($T34,Namen!$A$6:$A$117,Namen!$E$6:$E$117)</f>
        <v>0</v>
      </c>
      <c r="F34" s="230">
        <f t="shared" si="0"/>
        <v>8</v>
      </c>
      <c r="G34" s="231">
        <v>181</v>
      </c>
      <c r="H34" s="231">
        <v>199</v>
      </c>
      <c r="I34" s="231">
        <v>209</v>
      </c>
      <c r="J34" s="231">
        <v>191</v>
      </c>
      <c r="K34" s="231">
        <v>192</v>
      </c>
      <c r="L34" s="231">
        <v>195</v>
      </c>
      <c r="M34" s="231">
        <v>201</v>
      </c>
      <c r="N34" s="231">
        <v>182</v>
      </c>
      <c r="O34" s="232">
        <f t="shared" si="1"/>
        <v>1550</v>
      </c>
      <c r="P34" s="233">
        <f t="shared" si="2"/>
        <v>193.75</v>
      </c>
      <c r="Q34" s="229">
        <f t="shared" si="3"/>
        <v>128</v>
      </c>
      <c r="R34" s="229">
        <f t="shared" si="4"/>
        <v>1678</v>
      </c>
      <c r="S34" s="279">
        <f>S35</f>
        <v>3271</v>
      </c>
      <c r="T34" s="224">
        <v>61</v>
      </c>
      <c r="U34" s="32"/>
      <c r="V34" s="326">
        <f t="shared" si="5"/>
        <v>4</v>
      </c>
    </row>
    <row r="35" spans="1:22" s="30" customFormat="1" ht="18" customHeight="1" thickBot="1">
      <c r="A35" s="288"/>
      <c r="B35" s="259" t="str">
        <f>LOOKUP($T35,Namen!$A$6:$A$117,Namen!$B$6:$B$117)</f>
        <v>Punsalan Dany</v>
      </c>
      <c r="C35" s="259" t="str">
        <f>LOOKUP($T35,Namen!$A$6:$A$117,Namen!$C$6:$C$117)</f>
        <v>BE</v>
      </c>
      <c r="D35" s="259">
        <f>LOOKUP($T35,Namen!$A$6:$A$117,Namen!$D$6:$D$117)</f>
        <v>12</v>
      </c>
      <c r="E35" s="260">
        <f>LOOKUP($T35,Namen!$A$6:$A$117,Namen!$E$6:$E$117)</f>
        <v>0</v>
      </c>
      <c r="F35" s="260">
        <f t="shared" si="0"/>
        <v>8</v>
      </c>
      <c r="G35" s="261">
        <v>166</v>
      </c>
      <c r="H35" s="261">
        <v>168</v>
      </c>
      <c r="I35" s="261">
        <v>222</v>
      </c>
      <c r="J35" s="261">
        <v>192</v>
      </c>
      <c r="K35" s="261">
        <v>205</v>
      </c>
      <c r="L35" s="261">
        <v>170</v>
      </c>
      <c r="M35" s="261">
        <v>213</v>
      </c>
      <c r="N35" s="261">
        <v>161</v>
      </c>
      <c r="O35" s="262">
        <f t="shared" si="1"/>
        <v>1497</v>
      </c>
      <c r="P35" s="263">
        <f t="shared" si="2"/>
        <v>187.125</v>
      </c>
      <c r="Q35" s="259">
        <f t="shared" si="3"/>
        <v>96</v>
      </c>
      <c r="R35" s="259">
        <f t="shared" si="4"/>
        <v>1593</v>
      </c>
      <c r="S35" s="278">
        <f>SUM(R34:R35)</f>
        <v>3271</v>
      </c>
      <c r="T35" s="224">
        <v>62</v>
      </c>
      <c r="U35" s="32">
        <f>ROUND(S35/2,0)</f>
        <v>1636</v>
      </c>
      <c r="V35" s="326">
        <f t="shared" si="5"/>
        <v>8</v>
      </c>
    </row>
    <row r="36" spans="1:22" s="30" customFormat="1" ht="18" customHeight="1" thickTop="1">
      <c r="A36" s="290">
        <v>17</v>
      </c>
      <c r="B36" s="254" t="str">
        <f>LOOKUP($T36,Namen!$A$6:$A$117,Namen!$B$6:$B$117)</f>
        <v>Cuva Tanja</v>
      </c>
      <c r="C36" s="254" t="str">
        <f>LOOKUP($T36,Namen!$A$6:$A$117,Namen!$C$6:$C$117)</f>
        <v>ZH</v>
      </c>
      <c r="D36" s="254">
        <f>LOOKUP($T36,Namen!$A$6:$A$117,Namen!$D$6:$D$117)</f>
        <v>0</v>
      </c>
      <c r="E36" s="255">
        <f>LOOKUP($T36,Namen!$A$6:$A$117,Namen!$E$6:$E$117)</f>
        <v>0</v>
      </c>
      <c r="F36" s="255">
        <f aca="true" t="shared" si="6" ref="F36:F67">COUNT(G36:N36)</f>
        <v>8</v>
      </c>
      <c r="G36" s="256">
        <v>195</v>
      </c>
      <c r="H36" s="256">
        <v>213</v>
      </c>
      <c r="I36" s="256">
        <v>170</v>
      </c>
      <c r="J36" s="256">
        <v>266</v>
      </c>
      <c r="K36" s="256">
        <v>206</v>
      </c>
      <c r="L36" s="256">
        <v>227</v>
      </c>
      <c r="M36" s="256">
        <v>203</v>
      </c>
      <c r="N36" s="256">
        <v>189</v>
      </c>
      <c r="O36" s="257">
        <f aca="true" t="shared" si="7" ref="O36:O67">SUM(G36:N36)</f>
        <v>1669</v>
      </c>
      <c r="P36" s="258">
        <f aca="true" t="shared" si="8" ref="P36:P67">IF(F36&gt;0,O36/F36,0)</f>
        <v>208.625</v>
      </c>
      <c r="Q36" s="254">
        <f aca="true" t="shared" si="9" ref="Q36:Q67">D36*F36</f>
        <v>0</v>
      </c>
      <c r="R36" s="254">
        <f aca="true" t="shared" si="10" ref="R36:R67">O36+Q36</f>
        <v>1669</v>
      </c>
      <c r="S36" s="280">
        <f>S37</f>
        <v>3245</v>
      </c>
      <c r="T36" s="224">
        <v>59</v>
      </c>
      <c r="U36" s="31"/>
      <c r="V36" s="326">
        <f t="shared" si="5"/>
        <v>-8</v>
      </c>
    </row>
    <row r="37" spans="1:22" s="30" customFormat="1" ht="18" customHeight="1">
      <c r="A37" s="253"/>
      <c r="B37" s="229" t="str">
        <f>LOOKUP($T37,Namen!$A$6:$A$117,Namen!$B$6:$B$117)</f>
        <v>Branezac Damir</v>
      </c>
      <c r="C37" s="229" t="str">
        <f>LOOKUP($T37,Namen!$A$6:$A$117,Namen!$C$6:$C$117)</f>
        <v>ZH</v>
      </c>
      <c r="D37" s="229">
        <f>LOOKUP($T37,Namen!$A$6:$A$117,Namen!$D$6:$D$117)</f>
        <v>3</v>
      </c>
      <c r="E37" s="230">
        <f>LOOKUP($T37,Namen!$A$6:$A$117,Namen!$E$6:$E$117)</f>
        <v>0</v>
      </c>
      <c r="F37" s="230">
        <f t="shared" si="6"/>
        <v>8</v>
      </c>
      <c r="G37" s="231">
        <v>181</v>
      </c>
      <c r="H37" s="231">
        <v>215</v>
      </c>
      <c r="I37" s="231">
        <v>217</v>
      </c>
      <c r="J37" s="231">
        <v>171</v>
      </c>
      <c r="K37" s="231">
        <v>238</v>
      </c>
      <c r="L37" s="231">
        <v>192</v>
      </c>
      <c r="M37" s="231">
        <v>159</v>
      </c>
      <c r="N37" s="231">
        <v>179</v>
      </c>
      <c r="O37" s="232">
        <f t="shared" si="7"/>
        <v>1552</v>
      </c>
      <c r="P37" s="233">
        <f t="shared" si="8"/>
        <v>194</v>
      </c>
      <c r="Q37" s="229">
        <f t="shared" si="9"/>
        <v>24</v>
      </c>
      <c r="R37" s="229">
        <f t="shared" si="10"/>
        <v>1576</v>
      </c>
      <c r="S37" s="277">
        <f>SUM(R36:R37)</f>
        <v>3245</v>
      </c>
      <c r="T37" s="224">
        <v>60</v>
      </c>
      <c r="U37" s="31"/>
      <c r="V37" s="326">
        <f t="shared" si="5"/>
        <v>-2</v>
      </c>
    </row>
    <row r="38" spans="1:22" s="30" customFormat="1" ht="18" customHeight="1">
      <c r="A38" s="289">
        <v>18</v>
      </c>
      <c r="B38" s="229" t="str">
        <f>LOOKUP($T38,Namen!$A$6:$A$117,Namen!$B$6:$B$117)</f>
        <v>Marciante Marco</v>
      </c>
      <c r="C38" s="229" t="str">
        <f>LOOKUP($T38,Namen!$A$6:$A$117,Namen!$C$6:$C$117)</f>
        <v>SZJ</v>
      </c>
      <c r="D38" s="229">
        <f>LOOKUP($T38,Namen!$A$6:$A$117,Namen!$D$6:$D$117)</f>
        <v>2</v>
      </c>
      <c r="E38" s="230" t="str">
        <f>LOOKUP($T38,Namen!$A$6:$A$117,Namen!$E$6:$E$117)</f>
        <v>JA</v>
      </c>
      <c r="F38" s="230">
        <f t="shared" si="6"/>
        <v>8</v>
      </c>
      <c r="G38" s="231">
        <v>236</v>
      </c>
      <c r="H38" s="231">
        <v>202</v>
      </c>
      <c r="I38" s="231">
        <v>225</v>
      </c>
      <c r="J38" s="231">
        <v>257</v>
      </c>
      <c r="K38" s="231">
        <v>202</v>
      </c>
      <c r="L38" s="231">
        <v>202</v>
      </c>
      <c r="M38" s="231">
        <v>158</v>
      </c>
      <c r="N38" s="231">
        <v>197</v>
      </c>
      <c r="O38" s="232">
        <f t="shared" si="7"/>
        <v>1679</v>
      </c>
      <c r="P38" s="233">
        <f t="shared" si="8"/>
        <v>209.875</v>
      </c>
      <c r="Q38" s="229">
        <f t="shared" si="9"/>
        <v>16</v>
      </c>
      <c r="R38" s="229">
        <f t="shared" si="10"/>
        <v>1695</v>
      </c>
      <c r="S38" s="279">
        <f>S39</f>
        <v>3224</v>
      </c>
      <c r="T38" s="224">
        <v>17</v>
      </c>
      <c r="U38" s="31"/>
      <c r="V38" s="326">
        <f t="shared" si="5"/>
        <v>-13</v>
      </c>
    </row>
    <row r="39" spans="1:22" s="30" customFormat="1" ht="18" customHeight="1">
      <c r="A39" s="253"/>
      <c r="B39" s="229" t="str">
        <f>LOOKUP($T39,Namen!$A$6:$A$117,Namen!$B$6:$B$117)</f>
        <v>Kälin-Möckli Levin</v>
      </c>
      <c r="C39" s="229" t="str">
        <f>LOOKUP($T39,Namen!$A$6:$A$117,Namen!$C$6:$C$117)</f>
        <v>ZHJ</v>
      </c>
      <c r="D39" s="229">
        <f>LOOKUP($T39,Namen!$A$6:$A$117,Namen!$D$6:$D$117)</f>
        <v>19</v>
      </c>
      <c r="E39" s="230" t="str">
        <f>LOOKUP($T39,Namen!$A$6:$A$117,Namen!$E$6:$E$117)</f>
        <v>JB</v>
      </c>
      <c r="F39" s="230">
        <f t="shared" si="6"/>
        <v>8</v>
      </c>
      <c r="G39" s="231">
        <v>155</v>
      </c>
      <c r="H39" s="231">
        <v>172</v>
      </c>
      <c r="I39" s="231">
        <v>176</v>
      </c>
      <c r="J39" s="231">
        <v>221</v>
      </c>
      <c r="K39" s="231">
        <v>186</v>
      </c>
      <c r="L39" s="231">
        <v>146</v>
      </c>
      <c r="M39" s="231">
        <v>152</v>
      </c>
      <c r="N39" s="231">
        <v>169</v>
      </c>
      <c r="O39" s="232">
        <f t="shared" si="7"/>
        <v>1377</v>
      </c>
      <c r="P39" s="233">
        <f t="shared" si="8"/>
        <v>172.125</v>
      </c>
      <c r="Q39" s="229">
        <f t="shared" si="9"/>
        <v>152</v>
      </c>
      <c r="R39" s="229">
        <f t="shared" si="10"/>
        <v>1529</v>
      </c>
      <c r="S39" s="277">
        <f>SUM(R38:R39)</f>
        <v>3224</v>
      </c>
      <c r="T39" s="224">
        <v>18</v>
      </c>
      <c r="U39" s="31"/>
      <c r="V39" s="326">
        <f t="shared" si="5"/>
        <v>15</v>
      </c>
    </row>
    <row r="40" spans="1:22" s="30" customFormat="1" ht="18" customHeight="1">
      <c r="A40" s="289">
        <v>19</v>
      </c>
      <c r="B40" s="229" t="str">
        <f>LOOKUP($T40,Namen!$A$6:$A$117,Namen!$B$6:$B$117)</f>
        <v>Monika Mader</v>
      </c>
      <c r="C40" s="229" t="str">
        <f>LOOKUP($T40,Namen!$A$6:$A$117,Namen!$C$6:$C$117)</f>
        <v>GE</v>
      </c>
      <c r="D40" s="229">
        <f>LOOKUP($T40,Namen!$A$6:$A$117,Namen!$D$6:$D$117)</f>
        <v>21</v>
      </c>
      <c r="E40" s="230">
        <f>LOOKUP($T40,Namen!$A$6:$A$117,Namen!$E$6:$E$117)</f>
        <v>0</v>
      </c>
      <c r="F40" s="230">
        <f t="shared" si="6"/>
        <v>8</v>
      </c>
      <c r="G40" s="231">
        <v>181</v>
      </c>
      <c r="H40" s="231">
        <v>180</v>
      </c>
      <c r="I40" s="231">
        <v>171</v>
      </c>
      <c r="J40" s="231">
        <v>156</v>
      </c>
      <c r="K40" s="231">
        <v>186</v>
      </c>
      <c r="L40" s="231">
        <v>191</v>
      </c>
      <c r="M40" s="231">
        <v>181</v>
      </c>
      <c r="N40" s="231">
        <v>188</v>
      </c>
      <c r="O40" s="232">
        <f t="shared" si="7"/>
        <v>1434</v>
      </c>
      <c r="P40" s="233">
        <f t="shared" si="8"/>
        <v>179.25</v>
      </c>
      <c r="Q40" s="229">
        <f t="shared" si="9"/>
        <v>168</v>
      </c>
      <c r="R40" s="229">
        <f t="shared" si="10"/>
        <v>1602</v>
      </c>
      <c r="S40" s="279">
        <f>S41</f>
        <v>3219</v>
      </c>
      <c r="T40" s="224">
        <v>89</v>
      </c>
      <c r="U40" s="31"/>
      <c r="V40" s="326">
        <f t="shared" si="5"/>
        <v>14</v>
      </c>
    </row>
    <row r="41" spans="1:22" s="30" customFormat="1" ht="18" customHeight="1">
      <c r="A41" s="253"/>
      <c r="B41" s="229" t="str">
        <f>LOOKUP($T41,Namen!$A$6:$A$117,Namen!$B$6:$B$117)</f>
        <v>Ebener Andreas</v>
      </c>
      <c r="C41" s="229" t="str">
        <f>LOOKUP($T41,Namen!$A$6:$A$117,Namen!$C$6:$C$117)</f>
        <v>BE</v>
      </c>
      <c r="D41" s="229">
        <f>LOOKUP($T41,Namen!$A$6:$A$117,Namen!$D$6:$D$117)</f>
        <v>4</v>
      </c>
      <c r="E41" s="230">
        <f>LOOKUP($T41,Namen!$A$6:$A$117,Namen!$E$6:$E$117)</f>
        <v>0</v>
      </c>
      <c r="F41" s="230">
        <f t="shared" si="6"/>
        <v>8</v>
      </c>
      <c r="G41" s="231">
        <v>205</v>
      </c>
      <c r="H41" s="231">
        <v>203</v>
      </c>
      <c r="I41" s="231">
        <v>230</v>
      </c>
      <c r="J41" s="231">
        <v>150</v>
      </c>
      <c r="K41" s="231">
        <v>186</v>
      </c>
      <c r="L41" s="231">
        <v>206</v>
      </c>
      <c r="M41" s="231">
        <v>204</v>
      </c>
      <c r="N41" s="231">
        <v>201</v>
      </c>
      <c r="O41" s="232">
        <f t="shared" si="7"/>
        <v>1585</v>
      </c>
      <c r="P41" s="233">
        <f t="shared" si="8"/>
        <v>198.125</v>
      </c>
      <c r="Q41" s="229">
        <f t="shared" si="9"/>
        <v>32</v>
      </c>
      <c r="R41" s="229">
        <f t="shared" si="10"/>
        <v>1617</v>
      </c>
      <c r="S41" s="277">
        <f>SUM(R40:R41)</f>
        <v>3219</v>
      </c>
      <c r="T41" s="224">
        <v>90</v>
      </c>
      <c r="U41" s="31"/>
      <c r="V41" s="326">
        <f t="shared" si="5"/>
        <v>3</v>
      </c>
    </row>
    <row r="42" spans="1:22" s="30" customFormat="1" ht="18" customHeight="1">
      <c r="A42" s="289">
        <v>20</v>
      </c>
      <c r="B42" s="229" t="str">
        <f>LOOKUP($T42,Namen!$A$6:$A$117,Namen!$B$6:$B$117)</f>
        <v>Angioletti Michele</v>
      </c>
      <c r="C42" s="229" t="str">
        <f>LOOKUP($T42,Namen!$A$6:$A$117,Namen!$C$6:$C$117)</f>
        <v>BS</v>
      </c>
      <c r="D42" s="229">
        <f>LOOKUP($T42,Namen!$A$6:$A$117,Namen!$D$6:$D$117)</f>
        <v>7</v>
      </c>
      <c r="E42" s="230">
        <f>LOOKUP($T42,Namen!$A$6:$A$117,Namen!$E$6:$E$117)</f>
        <v>0</v>
      </c>
      <c r="F42" s="230">
        <f t="shared" si="6"/>
        <v>8</v>
      </c>
      <c r="G42" s="231">
        <v>154</v>
      </c>
      <c r="H42" s="231">
        <v>201</v>
      </c>
      <c r="I42" s="231">
        <v>192</v>
      </c>
      <c r="J42" s="231">
        <v>198</v>
      </c>
      <c r="K42" s="231">
        <v>186</v>
      </c>
      <c r="L42" s="231">
        <v>204</v>
      </c>
      <c r="M42" s="231">
        <v>159</v>
      </c>
      <c r="N42" s="231">
        <v>189</v>
      </c>
      <c r="O42" s="232">
        <f t="shared" si="7"/>
        <v>1483</v>
      </c>
      <c r="P42" s="233">
        <f t="shared" si="8"/>
        <v>185.375</v>
      </c>
      <c r="Q42" s="229">
        <f t="shared" si="9"/>
        <v>56</v>
      </c>
      <c r="R42" s="229">
        <f t="shared" si="10"/>
        <v>1539</v>
      </c>
      <c r="S42" s="279">
        <f>S43</f>
        <v>3209</v>
      </c>
      <c r="T42" s="224">
        <v>55</v>
      </c>
      <c r="U42" s="31"/>
      <c r="V42" s="326">
        <f t="shared" si="5"/>
        <v>7</v>
      </c>
    </row>
    <row r="43" spans="1:22" s="30" customFormat="1" ht="18" customHeight="1">
      <c r="A43" s="253"/>
      <c r="B43" s="229" t="str">
        <f>LOOKUP($T43,Namen!$A$6:$A$117,Namen!$B$6:$B$117)</f>
        <v>Fülster Wilfried</v>
      </c>
      <c r="C43" s="229" t="str">
        <f>LOOKUP($T43,Namen!$A$6:$A$117,Namen!$C$6:$C$117)</f>
        <v>BS</v>
      </c>
      <c r="D43" s="229">
        <f>LOOKUP($T43,Namen!$A$6:$A$117,Namen!$D$6:$D$117)</f>
        <v>8</v>
      </c>
      <c r="E43" s="230">
        <f>LOOKUP($T43,Namen!$A$6:$A$117,Namen!$E$6:$E$117)</f>
        <v>0</v>
      </c>
      <c r="F43" s="230">
        <f t="shared" si="6"/>
        <v>8</v>
      </c>
      <c r="G43" s="231">
        <v>194</v>
      </c>
      <c r="H43" s="231">
        <v>167</v>
      </c>
      <c r="I43" s="231">
        <v>148</v>
      </c>
      <c r="J43" s="231">
        <v>199</v>
      </c>
      <c r="K43" s="231">
        <v>206</v>
      </c>
      <c r="L43" s="231">
        <v>208</v>
      </c>
      <c r="M43" s="231">
        <v>225</v>
      </c>
      <c r="N43" s="231">
        <v>259</v>
      </c>
      <c r="O43" s="232">
        <f t="shared" si="7"/>
        <v>1606</v>
      </c>
      <c r="P43" s="233">
        <f t="shared" si="8"/>
        <v>200.75</v>
      </c>
      <c r="Q43" s="229">
        <f t="shared" si="9"/>
        <v>64</v>
      </c>
      <c r="R43" s="229">
        <f t="shared" si="10"/>
        <v>1670</v>
      </c>
      <c r="S43" s="277">
        <f>SUM(R42:R43)</f>
        <v>3209</v>
      </c>
      <c r="T43" s="224">
        <v>56</v>
      </c>
      <c r="U43" s="31"/>
      <c r="V43" s="326">
        <f t="shared" si="5"/>
        <v>8</v>
      </c>
    </row>
    <row r="44" spans="1:22" s="30" customFormat="1" ht="18" customHeight="1">
      <c r="A44" s="289">
        <v>21</v>
      </c>
      <c r="B44" s="229" t="str">
        <f>LOOKUP($T44,Namen!$A$6:$A$117,Namen!$B$6:$B$117)</f>
        <v>Riegler Yuval</v>
      </c>
      <c r="C44" s="229" t="str">
        <f>LOOKUP($T44,Namen!$A$6:$A$117,Namen!$C$6:$C$117)</f>
        <v>BSJ</v>
      </c>
      <c r="D44" s="229">
        <f>LOOKUP($T44,Namen!$A$6:$A$117,Namen!$D$6:$D$117)</f>
        <v>14</v>
      </c>
      <c r="E44" s="230" t="str">
        <f>LOOKUP($T44,Namen!$A$6:$A$117,Namen!$E$6:$E$117)</f>
        <v>JA</v>
      </c>
      <c r="F44" s="230">
        <f t="shared" si="6"/>
        <v>8</v>
      </c>
      <c r="G44" s="231">
        <v>204</v>
      </c>
      <c r="H44" s="231">
        <v>177</v>
      </c>
      <c r="I44" s="231">
        <v>209</v>
      </c>
      <c r="J44" s="231">
        <v>182</v>
      </c>
      <c r="K44" s="231">
        <v>131</v>
      </c>
      <c r="L44" s="231">
        <v>164</v>
      </c>
      <c r="M44" s="231">
        <v>197</v>
      </c>
      <c r="N44" s="231">
        <v>215</v>
      </c>
      <c r="O44" s="232">
        <f t="shared" si="7"/>
        <v>1479</v>
      </c>
      <c r="P44" s="233">
        <f t="shared" si="8"/>
        <v>184.875</v>
      </c>
      <c r="Q44" s="229">
        <f t="shared" si="9"/>
        <v>112</v>
      </c>
      <c r="R44" s="229">
        <f t="shared" si="10"/>
        <v>1591</v>
      </c>
      <c r="S44" s="279">
        <f>S45</f>
        <v>3203</v>
      </c>
      <c r="T44" s="224">
        <v>25</v>
      </c>
      <c r="U44" s="31"/>
      <c r="V44" s="326">
        <f t="shared" si="5"/>
        <v>14</v>
      </c>
    </row>
    <row r="45" spans="1:22" s="30" customFormat="1" ht="18" customHeight="1">
      <c r="A45" s="253"/>
      <c r="B45" s="229" t="str">
        <f>LOOKUP($T45,Namen!$A$6:$A$117,Namen!$B$6:$B$117)</f>
        <v>Jakob Marc</v>
      </c>
      <c r="C45" s="229" t="str">
        <f>LOOKUP($T45,Namen!$A$6:$A$117,Namen!$C$6:$C$117)</f>
        <v>BSJ</v>
      </c>
      <c r="D45" s="229">
        <f>LOOKUP($T45,Namen!$A$6:$A$117,Namen!$D$6:$D$117)</f>
        <v>13</v>
      </c>
      <c r="E45" s="230" t="str">
        <f>LOOKUP($T45,Namen!$A$6:$A$117,Namen!$E$6:$E$117)</f>
        <v>JA</v>
      </c>
      <c r="F45" s="230">
        <f t="shared" si="6"/>
        <v>8</v>
      </c>
      <c r="G45" s="231">
        <v>172</v>
      </c>
      <c r="H45" s="231">
        <v>189</v>
      </c>
      <c r="I45" s="231">
        <v>199</v>
      </c>
      <c r="J45" s="231">
        <v>152</v>
      </c>
      <c r="K45" s="231">
        <v>190</v>
      </c>
      <c r="L45" s="231">
        <v>223</v>
      </c>
      <c r="M45" s="231">
        <v>227</v>
      </c>
      <c r="N45" s="231">
        <v>156</v>
      </c>
      <c r="O45" s="232">
        <f t="shared" si="7"/>
        <v>1508</v>
      </c>
      <c r="P45" s="233">
        <f t="shared" si="8"/>
        <v>188.5</v>
      </c>
      <c r="Q45" s="229">
        <f t="shared" si="9"/>
        <v>104</v>
      </c>
      <c r="R45" s="229">
        <f t="shared" si="10"/>
        <v>1612</v>
      </c>
      <c r="S45" s="277">
        <f>SUM(R44:R45)</f>
        <v>3203</v>
      </c>
      <c r="T45" s="224">
        <v>26</v>
      </c>
      <c r="U45" s="31"/>
      <c r="V45" s="326">
        <f t="shared" si="5"/>
        <v>8</v>
      </c>
    </row>
    <row r="46" spans="1:22" s="30" customFormat="1" ht="18" customHeight="1">
      <c r="A46" s="289">
        <v>22</v>
      </c>
      <c r="B46" s="229" t="str">
        <f>LOOKUP($T46,Namen!$A$6:$A$117,Namen!$B$6:$B$117)</f>
        <v>Gubler Sandy</v>
      </c>
      <c r="C46" s="229" t="str">
        <f>LOOKUP($T46,Namen!$A$6:$A$117,Namen!$C$6:$C$117)</f>
        <v>ZH</v>
      </c>
      <c r="D46" s="229">
        <f>LOOKUP($T46,Namen!$A$6:$A$117,Namen!$D$6:$D$117)</f>
        <v>14</v>
      </c>
      <c r="E46" s="230">
        <f>LOOKUP($T46,Namen!$A$6:$A$117,Namen!$E$6:$E$117)</f>
        <v>0</v>
      </c>
      <c r="F46" s="230">
        <f t="shared" si="6"/>
        <v>8</v>
      </c>
      <c r="G46" s="231">
        <v>170</v>
      </c>
      <c r="H46" s="231">
        <v>177</v>
      </c>
      <c r="I46" s="231">
        <v>180</v>
      </c>
      <c r="J46" s="231">
        <v>205</v>
      </c>
      <c r="K46" s="231">
        <v>200</v>
      </c>
      <c r="L46" s="231">
        <v>187</v>
      </c>
      <c r="M46" s="231">
        <v>202</v>
      </c>
      <c r="N46" s="231">
        <v>170</v>
      </c>
      <c r="O46" s="232">
        <f t="shared" si="7"/>
        <v>1491</v>
      </c>
      <c r="P46" s="233">
        <f t="shared" si="8"/>
        <v>186.375</v>
      </c>
      <c r="Q46" s="229">
        <f t="shared" si="9"/>
        <v>112</v>
      </c>
      <c r="R46" s="229">
        <f t="shared" si="10"/>
        <v>1603</v>
      </c>
      <c r="S46" s="279">
        <f>S47</f>
        <v>3184</v>
      </c>
      <c r="T46" s="224">
        <v>51</v>
      </c>
      <c r="U46" s="31"/>
      <c r="V46" s="326">
        <f t="shared" si="5"/>
        <v>9</v>
      </c>
    </row>
    <row r="47" spans="1:22" s="30" customFormat="1" ht="18" customHeight="1">
      <c r="A47" s="253"/>
      <c r="B47" s="229" t="str">
        <f>LOOKUP($T47,Namen!$A$6:$A$117,Namen!$B$6:$B$117)</f>
        <v>Gubler Mike</v>
      </c>
      <c r="C47" s="229" t="str">
        <f>LOOKUP($T47,Namen!$A$6:$A$117,Namen!$C$6:$C$117)</f>
        <v>ZH</v>
      </c>
      <c r="D47" s="229">
        <f>LOOKUP($T47,Namen!$A$6:$A$117,Namen!$D$6:$D$117)</f>
        <v>5</v>
      </c>
      <c r="E47" s="230">
        <f>LOOKUP($T47,Namen!$A$6:$A$117,Namen!$E$6:$E$117)</f>
        <v>0</v>
      </c>
      <c r="F47" s="230">
        <f t="shared" si="6"/>
        <v>8</v>
      </c>
      <c r="G47" s="231">
        <v>220</v>
      </c>
      <c r="H47" s="231">
        <v>237</v>
      </c>
      <c r="I47" s="231">
        <v>191</v>
      </c>
      <c r="J47" s="231">
        <v>193</v>
      </c>
      <c r="K47" s="231">
        <v>185</v>
      </c>
      <c r="L47" s="231">
        <v>141</v>
      </c>
      <c r="M47" s="231">
        <v>174</v>
      </c>
      <c r="N47" s="231">
        <v>200</v>
      </c>
      <c r="O47" s="232">
        <f t="shared" si="7"/>
        <v>1541</v>
      </c>
      <c r="P47" s="233">
        <f t="shared" si="8"/>
        <v>192.625</v>
      </c>
      <c r="Q47" s="229">
        <f t="shared" si="9"/>
        <v>40</v>
      </c>
      <c r="R47" s="229">
        <f t="shared" si="10"/>
        <v>1581</v>
      </c>
      <c r="S47" s="277">
        <f>SUM(R46:R47)</f>
        <v>3184</v>
      </c>
      <c r="T47" s="224">
        <v>52</v>
      </c>
      <c r="U47" s="31"/>
      <c r="V47" s="326">
        <f t="shared" si="5"/>
        <v>4</v>
      </c>
    </row>
    <row r="48" spans="1:22" s="30" customFormat="1" ht="18" customHeight="1">
      <c r="A48" s="289">
        <v>23</v>
      </c>
      <c r="B48" s="229" t="str">
        <f>LOOKUP($T48,Namen!$A$6:$A$117,Namen!$B$6:$B$117)</f>
        <v>Furrer Toni</v>
      </c>
      <c r="C48" s="229" t="str">
        <f>LOOKUP($T48,Namen!$A$6:$A$117,Namen!$C$6:$C$117)</f>
        <v>ZG</v>
      </c>
      <c r="D48" s="229">
        <f>LOOKUP($T48,Namen!$A$6:$A$117,Namen!$D$6:$D$117)</f>
        <v>12</v>
      </c>
      <c r="E48" s="230">
        <f>LOOKUP($T48,Namen!$A$6:$A$117,Namen!$E$6:$E$117)</f>
        <v>0</v>
      </c>
      <c r="F48" s="230">
        <f t="shared" si="6"/>
        <v>8</v>
      </c>
      <c r="G48" s="231">
        <v>193</v>
      </c>
      <c r="H48" s="231">
        <v>180</v>
      </c>
      <c r="I48" s="231">
        <v>157</v>
      </c>
      <c r="J48" s="231">
        <v>212</v>
      </c>
      <c r="K48" s="231">
        <v>169</v>
      </c>
      <c r="L48" s="231">
        <v>160</v>
      </c>
      <c r="M48" s="231">
        <v>212</v>
      </c>
      <c r="N48" s="231">
        <v>172</v>
      </c>
      <c r="O48" s="232">
        <f t="shared" si="7"/>
        <v>1455</v>
      </c>
      <c r="P48" s="233">
        <f t="shared" si="8"/>
        <v>181.875</v>
      </c>
      <c r="Q48" s="229">
        <f t="shared" si="9"/>
        <v>96</v>
      </c>
      <c r="R48" s="229">
        <f t="shared" si="10"/>
        <v>1551</v>
      </c>
      <c r="S48" s="279">
        <f>S49</f>
        <v>3177</v>
      </c>
      <c r="T48" s="224">
        <v>85</v>
      </c>
      <c r="U48" s="31"/>
      <c r="V48" s="326">
        <f t="shared" si="5"/>
        <v>13</v>
      </c>
    </row>
    <row r="49" spans="1:22" s="30" customFormat="1" ht="18" customHeight="1">
      <c r="A49" s="253"/>
      <c r="B49" s="229" t="str">
        <f>LOOKUP($T49,Namen!$A$6:$A$117,Namen!$B$6:$B$117)</f>
        <v>Zgraggen Martin</v>
      </c>
      <c r="C49" s="229" t="str">
        <f>LOOKUP($T49,Namen!$A$6:$A$117,Namen!$C$6:$C$117)</f>
        <v>ZG</v>
      </c>
      <c r="D49" s="229">
        <f>LOOKUP($T49,Namen!$A$6:$A$117,Namen!$D$6:$D$117)</f>
        <v>7</v>
      </c>
      <c r="E49" s="230">
        <f>LOOKUP($T49,Namen!$A$6:$A$117,Namen!$E$6:$E$117)</f>
        <v>0</v>
      </c>
      <c r="F49" s="230">
        <f t="shared" si="6"/>
        <v>8</v>
      </c>
      <c r="G49" s="231">
        <v>204</v>
      </c>
      <c r="H49" s="231">
        <v>173</v>
      </c>
      <c r="I49" s="231">
        <v>190</v>
      </c>
      <c r="J49" s="231">
        <v>231</v>
      </c>
      <c r="K49" s="231">
        <v>184</v>
      </c>
      <c r="L49" s="231">
        <v>182</v>
      </c>
      <c r="M49" s="231">
        <v>203</v>
      </c>
      <c r="N49" s="231">
        <v>203</v>
      </c>
      <c r="O49" s="232">
        <f t="shared" si="7"/>
        <v>1570</v>
      </c>
      <c r="P49" s="233">
        <f t="shared" si="8"/>
        <v>196.25</v>
      </c>
      <c r="Q49" s="229">
        <f t="shared" si="9"/>
        <v>56</v>
      </c>
      <c r="R49" s="229">
        <f t="shared" si="10"/>
        <v>1626</v>
      </c>
      <c r="S49" s="277">
        <f>SUM(R48:R49)</f>
        <v>3177</v>
      </c>
      <c r="T49" s="224">
        <v>86</v>
      </c>
      <c r="U49" s="31"/>
      <c r="V49" s="326">
        <f t="shared" si="5"/>
        <v>4</v>
      </c>
    </row>
    <row r="50" spans="1:22" s="30" customFormat="1" ht="18" customHeight="1">
      <c r="A50" s="289">
        <v>24</v>
      </c>
      <c r="B50" s="229" t="str">
        <f>LOOKUP($T50,Namen!$A$6:$A$117,Namen!$B$6:$B$117)</f>
        <v>Gangloff Thomas</v>
      </c>
      <c r="C50" s="229" t="str">
        <f>LOOKUP($T50,Namen!$A$6:$A$117,Namen!$C$6:$C$117)</f>
        <v>SZ</v>
      </c>
      <c r="D50" s="229">
        <f>LOOKUP($T50,Namen!$A$6:$A$117,Namen!$D$6:$D$117)</f>
        <v>16</v>
      </c>
      <c r="E50" s="230">
        <f>LOOKUP($T50,Namen!$A$6:$A$117,Namen!$E$6:$E$117)</f>
        <v>0</v>
      </c>
      <c r="F50" s="230">
        <f t="shared" si="6"/>
        <v>8</v>
      </c>
      <c r="G50" s="231">
        <v>194</v>
      </c>
      <c r="H50" s="231">
        <v>169</v>
      </c>
      <c r="I50" s="231">
        <v>196</v>
      </c>
      <c r="J50" s="231">
        <v>203</v>
      </c>
      <c r="K50" s="231">
        <v>179</v>
      </c>
      <c r="L50" s="231">
        <v>201</v>
      </c>
      <c r="M50" s="231">
        <v>193</v>
      </c>
      <c r="N50" s="231">
        <v>190</v>
      </c>
      <c r="O50" s="232">
        <f t="shared" si="7"/>
        <v>1525</v>
      </c>
      <c r="P50" s="233">
        <f t="shared" si="8"/>
        <v>190.625</v>
      </c>
      <c r="Q50" s="229">
        <f t="shared" si="9"/>
        <v>128</v>
      </c>
      <c r="R50" s="229">
        <f t="shared" si="10"/>
        <v>1653</v>
      </c>
      <c r="S50" s="279">
        <f>S51</f>
        <v>3152</v>
      </c>
      <c r="T50" s="224">
        <v>1</v>
      </c>
      <c r="U50" s="31"/>
      <c r="V50" s="326">
        <f t="shared" si="5"/>
        <v>6</v>
      </c>
    </row>
    <row r="51" spans="1:22" s="30" customFormat="1" ht="18" customHeight="1">
      <c r="A51" s="253"/>
      <c r="B51" s="229" t="str">
        <f>LOOKUP($T51,Namen!$A$6:$A$117,Namen!$B$6:$B$117)</f>
        <v>Koller Donat</v>
      </c>
      <c r="C51" s="229" t="str">
        <f>LOOKUP($T51,Namen!$A$6:$A$117,Namen!$C$6:$C$117)</f>
        <v>SZ</v>
      </c>
      <c r="D51" s="229">
        <f>LOOKUP($T51,Namen!$A$6:$A$117,Namen!$D$6:$D$117)</f>
        <v>11</v>
      </c>
      <c r="E51" s="230">
        <f>LOOKUP($T51,Namen!$A$6:$A$117,Namen!$E$6:$E$117)</f>
        <v>0</v>
      </c>
      <c r="F51" s="230">
        <f t="shared" si="6"/>
        <v>8</v>
      </c>
      <c r="G51" s="231">
        <v>124</v>
      </c>
      <c r="H51" s="231">
        <v>173</v>
      </c>
      <c r="I51" s="231">
        <v>176</v>
      </c>
      <c r="J51" s="231">
        <v>216</v>
      </c>
      <c r="K51" s="231">
        <v>163</v>
      </c>
      <c r="L51" s="231">
        <v>156</v>
      </c>
      <c r="M51" s="231">
        <v>224</v>
      </c>
      <c r="N51" s="231">
        <v>179</v>
      </c>
      <c r="O51" s="232">
        <f t="shared" si="7"/>
        <v>1411</v>
      </c>
      <c r="P51" s="233">
        <f t="shared" si="8"/>
        <v>176.375</v>
      </c>
      <c r="Q51" s="229">
        <f t="shared" si="9"/>
        <v>88</v>
      </c>
      <c r="R51" s="229">
        <f t="shared" si="10"/>
        <v>1499</v>
      </c>
      <c r="S51" s="277">
        <f>SUM(R50:R51)</f>
        <v>3152</v>
      </c>
      <c r="T51" s="224">
        <v>2</v>
      </c>
      <c r="U51" s="31"/>
      <c r="V51" s="326">
        <f t="shared" si="5"/>
        <v>20</v>
      </c>
    </row>
    <row r="52" spans="1:22" s="30" customFormat="1" ht="18" customHeight="1">
      <c r="A52" s="289">
        <v>25</v>
      </c>
      <c r="B52" s="229" t="str">
        <f>LOOKUP($T52,Namen!$A$6:$A$117,Namen!$B$6:$B$117)</f>
        <v>Ancarani Dario</v>
      </c>
      <c r="C52" s="229" t="str">
        <f>LOOKUP($T52,Namen!$A$6:$A$117,Namen!$C$6:$C$117)</f>
        <v>ZH</v>
      </c>
      <c r="D52" s="229">
        <f>LOOKUP($T52,Namen!$A$6:$A$117,Namen!$D$6:$D$117)</f>
        <v>0</v>
      </c>
      <c r="E52" s="230">
        <f>LOOKUP($T52,Namen!$A$6:$A$117,Namen!$E$6:$E$117)</f>
        <v>0</v>
      </c>
      <c r="F52" s="230">
        <f t="shared" si="6"/>
        <v>8</v>
      </c>
      <c r="G52" s="231">
        <v>218</v>
      </c>
      <c r="H52" s="231">
        <v>223</v>
      </c>
      <c r="I52" s="231">
        <v>224</v>
      </c>
      <c r="J52" s="231">
        <v>154</v>
      </c>
      <c r="K52" s="231">
        <v>191</v>
      </c>
      <c r="L52" s="231">
        <v>211</v>
      </c>
      <c r="M52" s="231">
        <v>207</v>
      </c>
      <c r="N52" s="231">
        <v>183</v>
      </c>
      <c r="O52" s="232">
        <f t="shared" si="7"/>
        <v>1611</v>
      </c>
      <c r="P52" s="233">
        <f t="shared" si="8"/>
        <v>201.375</v>
      </c>
      <c r="Q52" s="229">
        <f t="shared" si="9"/>
        <v>0</v>
      </c>
      <c r="R52" s="229">
        <f t="shared" si="10"/>
        <v>1611</v>
      </c>
      <c r="S52" s="279">
        <f>S53</f>
        <v>3138</v>
      </c>
      <c r="T52" s="224">
        <v>45</v>
      </c>
      <c r="U52" s="31"/>
      <c r="V52" s="326">
        <f t="shared" si="5"/>
        <v>-3</v>
      </c>
    </row>
    <row r="53" spans="1:22" s="30" customFormat="1" ht="18" customHeight="1">
      <c r="A53" s="253"/>
      <c r="B53" s="229" t="str">
        <f>LOOKUP($T53,Namen!$A$6:$A$117,Namen!$B$6:$B$117)</f>
        <v>Lienhard Joel</v>
      </c>
      <c r="C53" s="229" t="str">
        <f>LOOKUP($T53,Namen!$A$6:$A$117,Namen!$C$6:$C$117)</f>
        <v>ZH</v>
      </c>
      <c r="D53" s="229">
        <f>LOOKUP($T53,Namen!$A$6:$A$117,Namen!$D$6:$D$117)</f>
        <v>7</v>
      </c>
      <c r="E53" s="230" t="str">
        <f>LOOKUP($T53,Namen!$A$6:$A$117,Namen!$E$6:$E$117)</f>
        <v>JB</v>
      </c>
      <c r="F53" s="230">
        <f t="shared" si="6"/>
        <v>8</v>
      </c>
      <c r="G53" s="231">
        <v>226</v>
      </c>
      <c r="H53" s="231">
        <v>184</v>
      </c>
      <c r="I53" s="231">
        <v>197</v>
      </c>
      <c r="J53" s="231">
        <v>167</v>
      </c>
      <c r="K53" s="231">
        <v>136</v>
      </c>
      <c r="L53" s="231">
        <v>155</v>
      </c>
      <c r="M53" s="231">
        <v>162</v>
      </c>
      <c r="N53" s="231">
        <v>244</v>
      </c>
      <c r="O53" s="232">
        <f t="shared" si="7"/>
        <v>1471</v>
      </c>
      <c r="P53" s="233">
        <f t="shared" si="8"/>
        <v>183.875</v>
      </c>
      <c r="Q53" s="229">
        <f t="shared" si="9"/>
        <v>56</v>
      </c>
      <c r="R53" s="229">
        <f t="shared" si="10"/>
        <v>1527</v>
      </c>
      <c r="S53" s="277">
        <f>SUM(R52:R53)</f>
        <v>3138</v>
      </c>
      <c r="T53" s="224">
        <v>46</v>
      </c>
      <c r="U53" s="31"/>
      <c r="V53" s="326">
        <f t="shared" si="5"/>
        <v>14</v>
      </c>
    </row>
    <row r="54" spans="1:22" s="30" customFormat="1" ht="18" customHeight="1">
      <c r="A54" s="289">
        <v>26</v>
      </c>
      <c r="B54" s="229" t="str">
        <f>LOOKUP($T54,Namen!$A$6:$A$117,Namen!$B$6:$B$117)</f>
        <v>Tellenbach Hansruedi</v>
      </c>
      <c r="C54" s="229" t="str">
        <f>LOOKUP($T54,Namen!$A$6:$A$117,Namen!$C$6:$C$117)</f>
        <v>TG</v>
      </c>
      <c r="D54" s="229">
        <f>LOOKUP($T54,Namen!$A$6:$A$117,Namen!$D$6:$D$117)</f>
        <v>18</v>
      </c>
      <c r="E54" s="230">
        <f>LOOKUP($T54,Namen!$A$6:$A$117,Namen!$E$6:$E$117)</f>
        <v>0</v>
      </c>
      <c r="F54" s="230">
        <f t="shared" si="6"/>
        <v>8</v>
      </c>
      <c r="G54" s="231">
        <v>162</v>
      </c>
      <c r="H54" s="231">
        <v>166</v>
      </c>
      <c r="I54" s="231">
        <v>206</v>
      </c>
      <c r="J54" s="231">
        <v>198</v>
      </c>
      <c r="K54" s="231">
        <v>201</v>
      </c>
      <c r="L54" s="231">
        <v>177</v>
      </c>
      <c r="M54" s="231">
        <v>182</v>
      </c>
      <c r="N54" s="231">
        <v>196</v>
      </c>
      <c r="O54" s="232">
        <f t="shared" si="7"/>
        <v>1488</v>
      </c>
      <c r="P54" s="233">
        <f t="shared" si="8"/>
        <v>186</v>
      </c>
      <c r="Q54" s="229">
        <f t="shared" si="9"/>
        <v>144</v>
      </c>
      <c r="R54" s="229">
        <f t="shared" si="10"/>
        <v>1632</v>
      </c>
      <c r="S54" s="279">
        <f>S55</f>
        <v>3136</v>
      </c>
      <c r="T54" s="224">
        <v>5</v>
      </c>
      <c r="U54" s="31"/>
      <c r="V54" s="326">
        <f t="shared" si="5"/>
        <v>9</v>
      </c>
    </row>
    <row r="55" spans="1:22" s="30" customFormat="1" ht="18" customHeight="1">
      <c r="A55" s="253"/>
      <c r="B55" s="229" t="str">
        <f>LOOKUP($T55,Namen!$A$6:$A$117,Namen!$B$6:$B$117)</f>
        <v>Vetsch Ruedi</v>
      </c>
      <c r="C55" s="229" t="str">
        <f>LOOKUP($T55,Namen!$A$6:$A$117,Namen!$C$6:$C$117)</f>
        <v>TG</v>
      </c>
      <c r="D55" s="229">
        <f>LOOKUP($T55,Namen!$A$6:$A$117,Namen!$D$6:$D$117)</f>
        <v>17</v>
      </c>
      <c r="E55" s="230">
        <f>LOOKUP($T55,Namen!$A$6:$A$117,Namen!$E$6:$E$117)</f>
        <v>0</v>
      </c>
      <c r="F55" s="230">
        <f t="shared" si="6"/>
        <v>8</v>
      </c>
      <c r="G55" s="231">
        <v>167</v>
      </c>
      <c r="H55" s="231">
        <v>209</v>
      </c>
      <c r="I55" s="231">
        <v>189</v>
      </c>
      <c r="J55" s="231">
        <v>128</v>
      </c>
      <c r="K55" s="231">
        <v>144</v>
      </c>
      <c r="L55" s="231">
        <v>163</v>
      </c>
      <c r="M55" s="231">
        <v>187</v>
      </c>
      <c r="N55" s="231">
        <v>181</v>
      </c>
      <c r="O55" s="232">
        <f t="shared" si="7"/>
        <v>1368</v>
      </c>
      <c r="P55" s="233">
        <f t="shared" si="8"/>
        <v>171</v>
      </c>
      <c r="Q55" s="229">
        <f t="shared" si="9"/>
        <v>136</v>
      </c>
      <c r="R55" s="229">
        <f t="shared" si="10"/>
        <v>1504</v>
      </c>
      <c r="S55" s="277">
        <f>SUM(R54:R55)</f>
        <v>3136</v>
      </c>
      <c r="T55" s="224">
        <v>6</v>
      </c>
      <c r="U55" s="31"/>
      <c r="V55" s="326">
        <f t="shared" si="5"/>
        <v>20</v>
      </c>
    </row>
    <row r="56" spans="1:22" s="30" customFormat="1" ht="18" customHeight="1">
      <c r="A56" s="289">
        <v>27</v>
      </c>
      <c r="B56" s="229" t="str">
        <f>LOOKUP($T56,Namen!$A$6:$A$117,Namen!$B$6:$B$117)</f>
        <v>Schmied Walter</v>
      </c>
      <c r="C56" s="229" t="str">
        <f>LOOKUP($T56,Namen!$A$6:$A$117,Namen!$C$6:$C$117)</f>
        <v>TG</v>
      </c>
      <c r="D56" s="229">
        <f>LOOKUP($T56,Namen!$A$6:$A$117,Namen!$D$6:$D$117)</f>
        <v>11</v>
      </c>
      <c r="E56" s="230">
        <f>LOOKUP($T56,Namen!$A$6:$A$117,Namen!$E$6:$E$117)</f>
        <v>0</v>
      </c>
      <c r="F56" s="230">
        <f t="shared" si="6"/>
        <v>8</v>
      </c>
      <c r="G56" s="231">
        <v>181</v>
      </c>
      <c r="H56" s="231">
        <v>187</v>
      </c>
      <c r="I56" s="231">
        <v>208</v>
      </c>
      <c r="J56" s="231">
        <v>224</v>
      </c>
      <c r="K56" s="231">
        <v>219</v>
      </c>
      <c r="L56" s="231">
        <v>169</v>
      </c>
      <c r="M56" s="231">
        <v>167</v>
      </c>
      <c r="N56" s="231">
        <v>148</v>
      </c>
      <c r="O56" s="232">
        <f t="shared" si="7"/>
        <v>1503</v>
      </c>
      <c r="P56" s="233">
        <f t="shared" si="8"/>
        <v>187.875</v>
      </c>
      <c r="Q56" s="229">
        <f t="shared" si="9"/>
        <v>88</v>
      </c>
      <c r="R56" s="229">
        <f t="shared" si="10"/>
        <v>1591</v>
      </c>
      <c r="S56" s="279">
        <f>S57</f>
        <v>3135</v>
      </c>
      <c r="T56" s="224">
        <v>9</v>
      </c>
      <c r="U56" s="31"/>
      <c r="V56" s="326">
        <f t="shared" si="5"/>
        <v>2</v>
      </c>
    </row>
    <row r="57" spans="1:22" s="30" customFormat="1" ht="18" customHeight="1">
      <c r="A57" s="253"/>
      <c r="B57" s="229" t="str">
        <f>LOOKUP($T57,Namen!$A$6:$A$117,Namen!$B$6:$B$117)</f>
        <v>Fotakis Soti</v>
      </c>
      <c r="C57" s="229" t="str">
        <f>LOOKUP($T57,Namen!$A$6:$A$117,Namen!$C$6:$C$117)</f>
        <v>ZH</v>
      </c>
      <c r="D57" s="229">
        <f>LOOKUP($T57,Namen!$A$6:$A$117,Namen!$D$6:$D$117)</f>
        <v>7</v>
      </c>
      <c r="E57" s="230">
        <f>LOOKUP($T57,Namen!$A$6:$A$117,Namen!$E$6:$E$117)</f>
        <v>0</v>
      </c>
      <c r="F57" s="230">
        <f t="shared" si="6"/>
        <v>8</v>
      </c>
      <c r="G57" s="231">
        <v>207</v>
      </c>
      <c r="H57" s="231">
        <v>181</v>
      </c>
      <c r="I57" s="231">
        <v>161</v>
      </c>
      <c r="J57" s="231">
        <v>215</v>
      </c>
      <c r="K57" s="231">
        <v>181</v>
      </c>
      <c r="L57" s="231">
        <v>199</v>
      </c>
      <c r="M57" s="231">
        <v>179</v>
      </c>
      <c r="N57" s="231">
        <v>165</v>
      </c>
      <c r="O57" s="232">
        <f t="shared" si="7"/>
        <v>1488</v>
      </c>
      <c r="P57" s="233">
        <f t="shared" si="8"/>
        <v>186</v>
      </c>
      <c r="Q57" s="229">
        <f t="shared" si="9"/>
        <v>56</v>
      </c>
      <c r="R57" s="229">
        <f t="shared" si="10"/>
        <v>1544</v>
      </c>
      <c r="S57" s="277">
        <f>SUM(R56:R57)</f>
        <v>3135</v>
      </c>
      <c r="T57" s="224">
        <v>10</v>
      </c>
      <c r="U57" s="31"/>
      <c r="V57" s="326">
        <f t="shared" si="5"/>
        <v>6</v>
      </c>
    </row>
    <row r="58" spans="1:22" s="30" customFormat="1" ht="18" customHeight="1">
      <c r="A58" s="289">
        <v>28</v>
      </c>
      <c r="B58" s="229" t="str">
        <f>LOOKUP($T58,Namen!$A$6:$A$117,Namen!$B$6:$B$117)</f>
        <v>Ammann Hans</v>
      </c>
      <c r="C58" s="229" t="str">
        <f>LOOKUP($T58,Namen!$A$6:$A$117,Namen!$C$6:$C$117)</f>
        <v>ZH</v>
      </c>
      <c r="D58" s="229">
        <f>LOOKUP($T58,Namen!$A$6:$A$117,Namen!$D$6:$D$117)</f>
        <v>14</v>
      </c>
      <c r="E58" s="230">
        <f>LOOKUP($T58,Namen!$A$6:$A$117,Namen!$E$6:$E$117)</f>
        <v>0</v>
      </c>
      <c r="F58" s="230">
        <f t="shared" si="6"/>
        <v>8</v>
      </c>
      <c r="G58" s="231">
        <v>172</v>
      </c>
      <c r="H58" s="231">
        <v>199</v>
      </c>
      <c r="I58" s="231">
        <v>161</v>
      </c>
      <c r="J58" s="231">
        <v>157</v>
      </c>
      <c r="K58" s="231">
        <v>225</v>
      </c>
      <c r="L58" s="231">
        <v>210</v>
      </c>
      <c r="M58" s="231">
        <v>151</v>
      </c>
      <c r="N58" s="231">
        <v>213</v>
      </c>
      <c r="O58" s="232">
        <f t="shared" si="7"/>
        <v>1488</v>
      </c>
      <c r="P58" s="233">
        <f t="shared" si="8"/>
        <v>186</v>
      </c>
      <c r="Q58" s="229">
        <f t="shared" si="9"/>
        <v>112</v>
      </c>
      <c r="R58" s="229">
        <f t="shared" si="10"/>
        <v>1600</v>
      </c>
      <c r="S58" s="279">
        <f>S59</f>
        <v>3127</v>
      </c>
      <c r="T58" s="224">
        <v>73</v>
      </c>
      <c r="U58" s="31"/>
      <c r="V58" s="326">
        <f t="shared" si="5"/>
        <v>8</v>
      </c>
    </row>
    <row r="59" spans="1:22" s="30" customFormat="1" ht="18" customHeight="1">
      <c r="A59" s="253"/>
      <c r="B59" s="229" t="str">
        <f>LOOKUP($T59,Namen!$A$6:$A$117,Namen!$B$6:$B$117)</f>
        <v>Schönenberger Marcel</v>
      </c>
      <c r="C59" s="229" t="str">
        <f>LOOKUP($T59,Namen!$A$6:$A$117,Namen!$C$6:$C$117)</f>
        <v>ZH</v>
      </c>
      <c r="D59" s="229">
        <f>LOOKUP($T59,Namen!$A$6:$A$117,Namen!$D$6:$D$117)</f>
        <v>14</v>
      </c>
      <c r="E59" s="230">
        <f>LOOKUP($T59,Namen!$A$6:$A$117,Namen!$E$6:$E$117)</f>
        <v>0</v>
      </c>
      <c r="F59" s="230">
        <f t="shared" si="6"/>
        <v>8</v>
      </c>
      <c r="G59" s="231">
        <v>136</v>
      </c>
      <c r="H59" s="231">
        <v>202</v>
      </c>
      <c r="I59" s="231">
        <v>192</v>
      </c>
      <c r="J59" s="231">
        <v>146</v>
      </c>
      <c r="K59" s="231">
        <v>214</v>
      </c>
      <c r="L59" s="231">
        <v>189</v>
      </c>
      <c r="M59" s="231">
        <v>174</v>
      </c>
      <c r="N59" s="231">
        <v>162</v>
      </c>
      <c r="O59" s="232">
        <f t="shared" si="7"/>
        <v>1415</v>
      </c>
      <c r="P59" s="233">
        <f t="shared" si="8"/>
        <v>176.875</v>
      </c>
      <c r="Q59" s="229">
        <f t="shared" si="9"/>
        <v>112</v>
      </c>
      <c r="R59" s="229">
        <f t="shared" si="10"/>
        <v>1527</v>
      </c>
      <c r="S59" s="277">
        <f>SUM(R58:R59)</f>
        <v>3127</v>
      </c>
      <c r="T59" s="224">
        <v>74</v>
      </c>
      <c r="U59" s="31"/>
      <c r="V59" s="326">
        <f t="shared" si="5"/>
        <v>13</v>
      </c>
    </row>
    <row r="60" spans="1:22" s="30" customFormat="1" ht="18" customHeight="1">
      <c r="A60" s="289">
        <v>29</v>
      </c>
      <c r="B60" s="229" t="str">
        <f>LOOKUP($T60,Namen!$A$6:$A$117,Namen!$B$6:$B$117)</f>
        <v>Meierhans Heinz</v>
      </c>
      <c r="C60" s="229" t="str">
        <f>LOOKUP($T60,Namen!$A$6:$A$117,Namen!$C$6:$C$117)</f>
        <v>TG</v>
      </c>
      <c r="D60" s="229">
        <f>LOOKUP($T60,Namen!$A$6:$A$117,Namen!$D$6:$D$117)</f>
        <v>13</v>
      </c>
      <c r="E60" s="230">
        <f>LOOKUP($T60,Namen!$A$6:$A$117,Namen!$E$6:$E$117)</f>
        <v>0</v>
      </c>
      <c r="F60" s="230">
        <f t="shared" si="6"/>
        <v>8</v>
      </c>
      <c r="G60" s="231">
        <v>171</v>
      </c>
      <c r="H60" s="231">
        <v>146</v>
      </c>
      <c r="I60" s="231">
        <v>152</v>
      </c>
      <c r="J60" s="231">
        <v>189</v>
      </c>
      <c r="K60" s="231">
        <v>174</v>
      </c>
      <c r="L60" s="231">
        <v>171</v>
      </c>
      <c r="M60" s="231">
        <v>186</v>
      </c>
      <c r="N60" s="231">
        <v>181</v>
      </c>
      <c r="O60" s="232">
        <f t="shared" si="7"/>
        <v>1370</v>
      </c>
      <c r="P60" s="233">
        <f t="shared" si="8"/>
        <v>171.25</v>
      </c>
      <c r="Q60" s="229">
        <f t="shared" si="9"/>
        <v>104</v>
      </c>
      <c r="R60" s="229">
        <f t="shared" si="10"/>
        <v>1474</v>
      </c>
      <c r="S60" s="279">
        <f>S61</f>
        <v>3106</v>
      </c>
      <c r="T60" s="224">
        <v>47</v>
      </c>
      <c r="U60" s="31"/>
      <c r="V60" s="326">
        <f t="shared" si="5"/>
        <v>20</v>
      </c>
    </row>
    <row r="61" spans="1:22" s="30" customFormat="1" ht="18" customHeight="1">
      <c r="A61" s="253"/>
      <c r="B61" s="229" t="str">
        <f>LOOKUP($T61,Namen!$A$6:$A$117,Namen!$B$6:$B$117)</f>
        <v>Kalt Angela</v>
      </c>
      <c r="C61" s="229" t="str">
        <f>LOOKUP($T61,Namen!$A$6:$A$117,Namen!$C$6:$C$117)</f>
        <v>TG</v>
      </c>
      <c r="D61" s="229">
        <f>LOOKUP($T61,Namen!$A$6:$A$117,Namen!$D$6:$D$117)</f>
        <v>17</v>
      </c>
      <c r="E61" s="230">
        <f>LOOKUP($T61,Namen!$A$6:$A$117,Namen!$E$6:$E$117)</f>
        <v>0</v>
      </c>
      <c r="F61" s="230">
        <f t="shared" si="6"/>
        <v>8</v>
      </c>
      <c r="G61" s="231">
        <v>178</v>
      </c>
      <c r="H61" s="231">
        <v>225</v>
      </c>
      <c r="I61" s="231">
        <v>196</v>
      </c>
      <c r="J61" s="231">
        <v>200</v>
      </c>
      <c r="K61" s="231">
        <v>178</v>
      </c>
      <c r="L61" s="231">
        <v>170</v>
      </c>
      <c r="M61" s="231">
        <v>166</v>
      </c>
      <c r="N61" s="231">
        <v>183</v>
      </c>
      <c r="O61" s="232">
        <f t="shared" si="7"/>
        <v>1496</v>
      </c>
      <c r="P61" s="233">
        <f t="shared" si="8"/>
        <v>187</v>
      </c>
      <c r="Q61" s="229">
        <f t="shared" si="9"/>
        <v>136</v>
      </c>
      <c r="R61" s="229">
        <f t="shared" si="10"/>
        <v>1632</v>
      </c>
      <c r="S61" s="277">
        <f>SUM(R60:R61)</f>
        <v>3106</v>
      </c>
      <c r="T61" s="224">
        <v>48</v>
      </c>
      <c r="U61" s="31"/>
      <c r="V61" s="326">
        <f t="shared" si="5"/>
        <v>6</v>
      </c>
    </row>
    <row r="62" spans="1:22" s="30" customFormat="1" ht="18" customHeight="1">
      <c r="A62" s="289">
        <v>30</v>
      </c>
      <c r="B62" s="229" t="str">
        <f>LOOKUP($T62,Namen!$A$6:$A$117,Namen!$B$6:$B$117)</f>
        <v>Müller Roger</v>
      </c>
      <c r="C62" s="229" t="str">
        <f>LOOKUP($T62,Namen!$A$6:$A$117,Namen!$C$6:$C$117)</f>
        <v>BE</v>
      </c>
      <c r="D62" s="229">
        <f>LOOKUP($T62,Namen!$A$6:$A$117,Namen!$D$6:$D$117)</f>
        <v>23</v>
      </c>
      <c r="E62" s="230">
        <f>LOOKUP($T62,Namen!$A$6:$A$117,Namen!$E$6:$E$117)</f>
        <v>0</v>
      </c>
      <c r="F62" s="230">
        <f t="shared" si="6"/>
        <v>8</v>
      </c>
      <c r="G62" s="231">
        <v>173</v>
      </c>
      <c r="H62" s="231">
        <v>175</v>
      </c>
      <c r="I62" s="231">
        <v>138</v>
      </c>
      <c r="J62" s="231">
        <v>214</v>
      </c>
      <c r="K62" s="231">
        <v>146</v>
      </c>
      <c r="L62" s="231">
        <v>149</v>
      </c>
      <c r="M62" s="231">
        <v>176</v>
      </c>
      <c r="N62" s="231">
        <v>132</v>
      </c>
      <c r="O62" s="232">
        <f t="shared" si="7"/>
        <v>1303</v>
      </c>
      <c r="P62" s="233">
        <f t="shared" si="8"/>
        <v>162.875</v>
      </c>
      <c r="Q62" s="229">
        <f t="shared" si="9"/>
        <v>184</v>
      </c>
      <c r="R62" s="229">
        <f t="shared" si="10"/>
        <v>1487</v>
      </c>
      <c r="S62" s="279">
        <f>S63</f>
        <v>3103</v>
      </c>
      <c r="T62" s="224">
        <v>77</v>
      </c>
      <c r="U62" s="31"/>
      <c r="V62" s="326">
        <f t="shared" si="5"/>
        <v>21</v>
      </c>
    </row>
    <row r="63" spans="1:22" s="30" customFormat="1" ht="18" customHeight="1">
      <c r="A63" s="253"/>
      <c r="B63" s="229" t="str">
        <f>LOOKUP($T63,Namen!$A$6:$A$117,Namen!$B$6:$B$117)</f>
        <v>Müller Guido</v>
      </c>
      <c r="C63" s="229" t="str">
        <f>LOOKUP($T63,Namen!$A$6:$A$117,Namen!$C$6:$C$117)</f>
        <v>BE</v>
      </c>
      <c r="D63" s="229">
        <f>LOOKUP($T63,Namen!$A$6:$A$117,Namen!$D$6:$D$117)</f>
        <v>21</v>
      </c>
      <c r="E63" s="230">
        <f>LOOKUP($T63,Namen!$A$6:$A$117,Namen!$E$6:$E$117)</f>
        <v>0</v>
      </c>
      <c r="F63" s="230">
        <f t="shared" si="6"/>
        <v>8</v>
      </c>
      <c r="G63" s="231">
        <v>192</v>
      </c>
      <c r="H63" s="231">
        <v>222</v>
      </c>
      <c r="I63" s="231">
        <v>165</v>
      </c>
      <c r="J63" s="231">
        <v>168</v>
      </c>
      <c r="K63" s="231">
        <v>168</v>
      </c>
      <c r="L63" s="231">
        <v>149</v>
      </c>
      <c r="M63" s="231">
        <v>214</v>
      </c>
      <c r="N63" s="231">
        <v>170</v>
      </c>
      <c r="O63" s="232">
        <f t="shared" si="7"/>
        <v>1448</v>
      </c>
      <c r="P63" s="233">
        <f t="shared" si="8"/>
        <v>181</v>
      </c>
      <c r="Q63" s="229">
        <f t="shared" si="9"/>
        <v>168</v>
      </c>
      <c r="R63" s="229">
        <f t="shared" si="10"/>
        <v>1616</v>
      </c>
      <c r="S63" s="277">
        <f>SUM(R62:R63)</f>
        <v>3103</v>
      </c>
      <c r="T63" s="224">
        <v>78</v>
      </c>
      <c r="U63" s="31"/>
      <c r="V63" s="326">
        <f t="shared" si="5"/>
        <v>14</v>
      </c>
    </row>
    <row r="64" spans="1:22" s="30" customFormat="1" ht="18" customHeight="1">
      <c r="A64" s="289">
        <v>31</v>
      </c>
      <c r="B64" s="229" t="str">
        <f>LOOKUP($T64,Namen!$A$6:$A$117,Namen!$B$6:$B$117)</f>
        <v>Brand Stefan</v>
      </c>
      <c r="C64" s="229" t="str">
        <f>LOOKUP($T64,Namen!$A$6:$A$117,Namen!$C$6:$C$117)</f>
        <v>SZ</v>
      </c>
      <c r="D64" s="229">
        <f>LOOKUP($T64,Namen!$A$6:$A$117,Namen!$D$6:$D$117)</f>
        <v>7</v>
      </c>
      <c r="E64" s="230">
        <f>LOOKUP($T64,Namen!$A$6:$A$117,Namen!$E$6:$E$117)</f>
        <v>0</v>
      </c>
      <c r="F64" s="230">
        <f t="shared" si="6"/>
        <v>8</v>
      </c>
      <c r="G64" s="231">
        <v>173</v>
      </c>
      <c r="H64" s="231">
        <v>175</v>
      </c>
      <c r="I64" s="231">
        <v>187</v>
      </c>
      <c r="J64" s="231">
        <v>246</v>
      </c>
      <c r="K64" s="231">
        <v>159</v>
      </c>
      <c r="L64" s="231">
        <v>136</v>
      </c>
      <c r="M64" s="231">
        <v>225</v>
      </c>
      <c r="N64" s="231">
        <v>197</v>
      </c>
      <c r="O64" s="232">
        <f t="shared" si="7"/>
        <v>1498</v>
      </c>
      <c r="P64" s="233">
        <f t="shared" si="8"/>
        <v>187.25</v>
      </c>
      <c r="Q64" s="229">
        <f t="shared" si="9"/>
        <v>56</v>
      </c>
      <c r="R64" s="229">
        <f t="shared" si="10"/>
        <v>1554</v>
      </c>
      <c r="S64" s="279">
        <f>S65</f>
        <v>3099</v>
      </c>
      <c r="T64" s="224">
        <v>23</v>
      </c>
      <c r="U64" s="31"/>
      <c r="V64" s="326">
        <f t="shared" si="5"/>
        <v>13</v>
      </c>
    </row>
    <row r="65" spans="1:22" s="30" customFormat="1" ht="18" customHeight="1">
      <c r="A65" s="253"/>
      <c r="B65" s="229" t="str">
        <f>LOOKUP($T65,Namen!$A$6:$A$117,Namen!$B$6:$B$117)</f>
        <v>Heinrich Uwe</v>
      </c>
      <c r="C65" s="229" t="str">
        <f>LOOKUP($T65,Namen!$A$6:$A$117,Namen!$C$6:$C$117)</f>
        <v>SZ</v>
      </c>
      <c r="D65" s="229">
        <f>LOOKUP($T65,Namen!$A$6:$A$117,Namen!$D$6:$D$117)</f>
        <v>16</v>
      </c>
      <c r="E65" s="230">
        <f>LOOKUP($T65,Namen!$A$6:$A$117,Namen!$E$6:$E$117)</f>
        <v>0</v>
      </c>
      <c r="F65" s="230">
        <f t="shared" si="6"/>
        <v>8</v>
      </c>
      <c r="G65" s="231">
        <v>151</v>
      </c>
      <c r="H65" s="231">
        <v>169</v>
      </c>
      <c r="I65" s="231">
        <v>197</v>
      </c>
      <c r="J65" s="231">
        <v>190</v>
      </c>
      <c r="K65" s="231">
        <v>191</v>
      </c>
      <c r="L65" s="231">
        <v>202</v>
      </c>
      <c r="M65" s="231">
        <v>146</v>
      </c>
      <c r="N65" s="231">
        <v>171</v>
      </c>
      <c r="O65" s="232">
        <f t="shared" si="7"/>
        <v>1417</v>
      </c>
      <c r="P65" s="233">
        <f t="shared" si="8"/>
        <v>177.125</v>
      </c>
      <c r="Q65" s="229">
        <f t="shared" si="9"/>
        <v>128</v>
      </c>
      <c r="R65" s="229">
        <f t="shared" si="10"/>
        <v>1545</v>
      </c>
      <c r="S65" s="277">
        <f>SUM(R64:R65)</f>
        <v>3099</v>
      </c>
      <c r="T65" s="224">
        <v>24</v>
      </c>
      <c r="U65" s="31"/>
      <c r="V65" s="326">
        <f t="shared" si="5"/>
        <v>10</v>
      </c>
    </row>
    <row r="66" spans="1:22" s="30" customFormat="1" ht="18" customHeight="1">
      <c r="A66" s="289">
        <v>32</v>
      </c>
      <c r="B66" s="229" t="str">
        <f>LOOKUP($T66,Namen!$A$6:$A$117,Namen!$B$6:$B$117)</f>
        <v>Pfammatter Carmen </v>
      </c>
      <c r="C66" s="229" t="str">
        <f>LOOKUP($T66,Namen!$A$6:$A$117,Namen!$C$6:$C$117)</f>
        <v>BE</v>
      </c>
      <c r="D66" s="229">
        <f>LOOKUP($T66,Namen!$A$6:$A$117,Namen!$D$6:$D$117)</f>
        <v>20</v>
      </c>
      <c r="E66" s="230">
        <f>LOOKUP($T66,Namen!$A$6:$A$117,Namen!$E$6:$E$117)</f>
        <v>0</v>
      </c>
      <c r="F66" s="230">
        <f t="shared" si="6"/>
        <v>8</v>
      </c>
      <c r="G66" s="231">
        <v>182</v>
      </c>
      <c r="H66" s="231">
        <v>148</v>
      </c>
      <c r="I66" s="231">
        <v>186</v>
      </c>
      <c r="J66" s="231">
        <v>200</v>
      </c>
      <c r="K66" s="231">
        <v>172</v>
      </c>
      <c r="L66" s="231">
        <v>160</v>
      </c>
      <c r="M66" s="231">
        <v>180</v>
      </c>
      <c r="N66" s="231">
        <v>181</v>
      </c>
      <c r="O66" s="232">
        <f t="shared" si="7"/>
        <v>1409</v>
      </c>
      <c r="P66" s="233">
        <f t="shared" si="8"/>
        <v>176.125</v>
      </c>
      <c r="Q66" s="229">
        <f t="shared" si="9"/>
        <v>160</v>
      </c>
      <c r="R66" s="229">
        <f t="shared" si="10"/>
        <v>1569</v>
      </c>
      <c r="S66" s="279">
        <f>S67</f>
        <v>3096</v>
      </c>
      <c r="T66" s="224">
        <v>81</v>
      </c>
      <c r="U66" s="31"/>
      <c r="V66" s="326">
        <f t="shared" si="5"/>
        <v>16</v>
      </c>
    </row>
    <row r="67" spans="1:22" s="30" customFormat="1" ht="18" customHeight="1">
      <c r="A67" s="253"/>
      <c r="B67" s="229" t="str">
        <f>LOOKUP($T67,Namen!$A$6:$A$117,Namen!$B$6:$B$117)</f>
        <v>Köstinger Monika </v>
      </c>
      <c r="C67" s="229" t="str">
        <f>LOOKUP($T67,Namen!$A$6:$A$117,Namen!$C$6:$C$117)</f>
        <v>BE</v>
      </c>
      <c r="D67" s="229">
        <f>LOOKUP($T67,Namen!$A$6:$A$117,Namen!$D$6:$D$117)</f>
        <v>15</v>
      </c>
      <c r="E67" s="230">
        <f>LOOKUP($T67,Namen!$A$6:$A$117,Namen!$E$6:$E$117)</f>
        <v>0</v>
      </c>
      <c r="F67" s="230">
        <f t="shared" si="6"/>
        <v>8</v>
      </c>
      <c r="G67" s="231">
        <v>180</v>
      </c>
      <c r="H67" s="231">
        <v>155</v>
      </c>
      <c r="I67" s="231">
        <v>210</v>
      </c>
      <c r="J67" s="231">
        <v>172</v>
      </c>
      <c r="K67" s="231">
        <v>185</v>
      </c>
      <c r="L67" s="231">
        <v>170</v>
      </c>
      <c r="M67" s="231">
        <v>147</v>
      </c>
      <c r="N67" s="231">
        <v>188</v>
      </c>
      <c r="O67" s="232">
        <f t="shared" si="7"/>
        <v>1407</v>
      </c>
      <c r="P67" s="233">
        <f t="shared" si="8"/>
        <v>175.875</v>
      </c>
      <c r="Q67" s="229">
        <f t="shared" si="9"/>
        <v>120</v>
      </c>
      <c r="R67" s="229">
        <f t="shared" si="10"/>
        <v>1527</v>
      </c>
      <c r="S67" s="277">
        <f>SUM(R66:R67)</f>
        <v>3096</v>
      </c>
      <c r="T67" s="224">
        <v>82</v>
      </c>
      <c r="U67" s="31"/>
      <c r="V67" s="326">
        <f t="shared" si="5"/>
        <v>13</v>
      </c>
    </row>
    <row r="68" spans="1:22" s="30" customFormat="1" ht="18" customHeight="1">
      <c r="A68" s="289">
        <v>33</v>
      </c>
      <c r="B68" s="229" t="str">
        <f>LOOKUP($T68,Namen!$A$6:$A$117,Namen!$B$6:$B$117)</f>
        <v>Steiner Willy</v>
      </c>
      <c r="C68" s="229" t="str">
        <f>LOOKUP($T68,Namen!$A$6:$A$117,Namen!$C$6:$C$117)</f>
        <v>TG</v>
      </c>
      <c r="D68" s="229">
        <f>LOOKUP($T68,Namen!$A$6:$A$117,Namen!$D$6:$D$117)</f>
        <v>4</v>
      </c>
      <c r="E68" s="230">
        <f>LOOKUP($T68,Namen!$A$6:$A$117,Namen!$E$6:$E$117)</f>
        <v>0</v>
      </c>
      <c r="F68" s="230">
        <f aca="true" t="shared" si="11" ref="F68:F93">COUNT(G68:N68)</f>
        <v>8</v>
      </c>
      <c r="G68" s="231">
        <v>213</v>
      </c>
      <c r="H68" s="231">
        <v>184</v>
      </c>
      <c r="I68" s="231">
        <v>235</v>
      </c>
      <c r="J68" s="231">
        <v>183</v>
      </c>
      <c r="K68" s="231">
        <v>222</v>
      </c>
      <c r="L68" s="231">
        <v>182</v>
      </c>
      <c r="M68" s="231">
        <v>216</v>
      </c>
      <c r="N68" s="231">
        <v>209</v>
      </c>
      <c r="O68" s="232">
        <f aca="true" t="shared" si="12" ref="O68:O99">SUM(G68:N68)</f>
        <v>1644</v>
      </c>
      <c r="P68" s="233">
        <f aca="true" t="shared" si="13" ref="P68:P93">IF(F68&gt;0,O68/F68,0)</f>
        <v>205.5</v>
      </c>
      <c r="Q68" s="229">
        <f aca="true" t="shared" si="14" ref="Q68:Q101">D68*F68</f>
        <v>32</v>
      </c>
      <c r="R68" s="229">
        <f aca="true" t="shared" si="15" ref="R68:R99">O68+Q68</f>
        <v>1676</v>
      </c>
      <c r="S68" s="279">
        <f>S69</f>
        <v>3093</v>
      </c>
      <c r="T68" s="224">
        <v>27</v>
      </c>
      <c r="U68" s="31"/>
      <c r="V68" s="326">
        <f t="shared" si="5"/>
        <v>-2</v>
      </c>
    </row>
    <row r="69" spans="1:22" s="30" customFormat="1" ht="18" customHeight="1">
      <c r="A69" s="253"/>
      <c r="B69" s="229" t="str">
        <f>LOOKUP($T69,Namen!$A$6:$A$117,Namen!$B$6:$B$117)</f>
        <v>Bischhofberger Richard</v>
      </c>
      <c r="C69" s="229" t="str">
        <f>LOOKUP($T69,Namen!$A$6:$A$117,Namen!$C$6:$C$117)</f>
        <v>TG</v>
      </c>
      <c r="D69" s="229">
        <f>LOOKUP($T69,Namen!$A$6:$A$117,Namen!$D$6:$D$117)</f>
        <v>13</v>
      </c>
      <c r="E69" s="230">
        <f>LOOKUP($T69,Namen!$A$6:$A$117,Namen!$E$6:$E$117)</f>
        <v>0</v>
      </c>
      <c r="F69" s="230">
        <f t="shared" si="11"/>
        <v>8</v>
      </c>
      <c r="G69" s="231">
        <v>133</v>
      </c>
      <c r="H69" s="231">
        <v>180</v>
      </c>
      <c r="I69" s="231">
        <v>163</v>
      </c>
      <c r="J69" s="231">
        <v>173</v>
      </c>
      <c r="K69" s="231">
        <v>173</v>
      </c>
      <c r="L69" s="231">
        <v>202</v>
      </c>
      <c r="M69" s="231">
        <v>145</v>
      </c>
      <c r="N69" s="231">
        <v>144</v>
      </c>
      <c r="O69" s="232">
        <f t="shared" si="12"/>
        <v>1313</v>
      </c>
      <c r="P69" s="233">
        <f t="shared" si="13"/>
        <v>164.125</v>
      </c>
      <c r="Q69" s="229">
        <f t="shared" si="14"/>
        <v>104</v>
      </c>
      <c r="R69" s="229">
        <f t="shared" si="15"/>
        <v>1417</v>
      </c>
      <c r="S69" s="277">
        <f>SUM(R68:R69)</f>
        <v>3093</v>
      </c>
      <c r="T69" s="224">
        <v>28</v>
      </c>
      <c r="U69" s="31"/>
      <c r="V69" s="326">
        <f aca="true" t="shared" si="16" ref="V69:V121">ROUNDUP((200-(SUM(G69:L69))/COUNT(G69:L69))*0.6,0)</f>
        <v>18</v>
      </c>
    </row>
    <row r="70" spans="1:22" s="30" customFormat="1" ht="18" customHeight="1">
      <c r="A70" s="289">
        <v>34</v>
      </c>
      <c r="B70" s="229" t="str">
        <f>LOOKUP($T70,Namen!$A$6:$A$117,Namen!$B$6:$B$117)</f>
        <v>von Moos Marco</v>
      </c>
      <c r="C70" s="229" t="str">
        <f>LOOKUP($T70,Namen!$A$6:$A$117,Namen!$C$6:$C$117)</f>
        <v>ZH</v>
      </c>
      <c r="D70" s="229">
        <f>LOOKUP($T70,Namen!$A$6:$A$117,Namen!$D$6:$D$117)</f>
        <v>13</v>
      </c>
      <c r="E70" s="230" t="str">
        <f>LOOKUP($T70,Namen!$A$6:$A$117,Namen!$E$6:$E$117)</f>
        <v>JB</v>
      </c>
      <c r="F70" s="230">
        <f t="shared" si="11"/>
        <v>8</v>
      </c>
      <c r="G70" s="231">
        <v>181</v>
      </c>
      <c r="H70" s="231">
        <v>153</v>
      </c>
      <c r="I70" s="231">
        <v>206</v>
      </c>
      <c r="J70" s="231">
        <v>180</v>
      </c>
      <c r="K70" s="231">
        <v>172</v>
      </c>
      <c r="L70" s="231">
        <v>189</v>
      </c>
      <c r="M70" s="231">
        <v>202</v>
      </c>
      <c r="N70" s="231">
        <v>199</v>
      </c>
      <c r="O70" s="232">
        <f t="shared" si="12"/>
        <v>1482</v>
      </c>
      <c r="P70" s="233">
        <f t="shared" si="13"/>
        <v>185.25</v>
      </c>
      <c r="Q70" s="229">
        <f t="shared" si="14"/>
        <v>104</v>
      </c>
      <c r="R70" s="229">
        <f t="shared" si="15"/>
        <v>1586</v>
      </c>
      <c r="S70" s="279">
        <f>S71</f>
        <v>3090</v>
      </c>
      <c r="T70" s="224">
        <v>29</v>
      </c>
      <c r="U70" s="31"/>
      <c r="V70" s="326">
        <f t="shared" si="16"/>
        <v>12</v>
      </c>
    </row>
    <row r="71" spans="1:22" s="30" customFormat="1" ht="18" customHeight="1">
      <c r="A71" s="253"/>
      <c r="B71" s="229" t="str">
        <f>LOOKUP($T71,Namen!$A$6:$A$117,Namen!$B$6:$B$117)</f>
        <v>Caré Michel</v>
      </c>
      <c r="C71" s="229" t="str">
        <f>LOOKUP($T71,Namen!$A$6:$A$117,Namen!$C$6:$C$117)</f>
        <v>ZH</v>
      </c>
      <c r="D71" s="229">
        <f>LOOKUP($T71,Namen!$A$6:$A$117,Namen!$D$6:$D$117)</f>
        <v>13</v>
      </c>
      <c r="E71" s="230" t="str">
        <f>LOOKUP($T71,Namen!$A$6:$A$117,Namen!$E$6:$E$117)</f>
        <v>JB</v>
      </c>
      <c r="F71" s="230">
        <f t="shared" si="11"/>
        <v>8</v>
      </c>
      <c r="G71" s="231">
        <v>163</v>
      </c>
      <c r="H71" s="231">
        <v>183</v>
      </c>
      <c r="I71" s="231">
        <v>188</v>
      </c>
      <c r="J71" s="231">
        <v>181</v>
      </c>
      <c r="K71" s="231">
        <v>179</v>
      </c>
      <c r="L71" s="231">
        <v>179</v>
      </c>
      <c r="M71" s="231">
        <v>156</v>
      </c>
      <c r="N71" s="231">
        <v>171</v>
      </c>
      <c r="O71" s="232">
        <f t="shared" si="12"/>
        <v>1400</v>
      </c>
      <c r="P71" s="233">
        <f t="shared" si="13"/>
        <v>175</v>
      </c>
      <c r="Q71" s="229">
        <f t="shared" si="14"/>
        <v>104</v>
      </c>
      <c r="R71" s="229">
        <f t="shared" si="15"/>
        <v>1504</v>
      </c>
      <c r="S71" s="277">
        <f>SUM(R70:R71)</f>
        <v>3090</v>
      </c>
      <c r="T71" s="224">
        <v>30</v>
      </c>
      <c r="U71" s="31"/>
      <c r="V71" s="326">
        <f t="shared" si="16"/>
        <v>13</v>
      </c>
    </row>
    <row r="72" spans="1:22" s="30" customFormat="1" ht="18" customHeight="1">
      <c r="A72" s="289">
        <v>35</v>
      </c>
      <c r="B72" s="229" t="str">
        <f>LOOKUP($T72,Namen!$A$6:$A$117,Namen!$B$6:$B$117)</f>
        <v>Ghilardi Joe</v>
      </c>
      <c r="C72" s="229" t="str">
        <f>LOOKUP($T72,Namen!$A$6:$A$117,Namen!$C$6:$C$117)</f>
        <v>ZH</v>
      </c>
      <c r="D72" s="229">
        <f>LOOKUP($T72,Namen!$A$6:$A$117,Namen!$D$6:$D$117)</f>
        <v>11</v>
      </c>
      <c r="E72" s="230">
        <f>LOOKUP($T72,Namen!$A$6:$A$117,Namen!$E$6:$E$117)</f>
        <v>0</v>
      </c>
      <c r="F72" s="230">
        <f t="shared" si="11"/>
        <v>8</v>
      </c>
      <c r="G72" s="231">
        <v>168</v>
      </c>
      <c r="H72" s="231">
        <v>201</v>
      </c>
      <c r="I72" s="231">
        <v>181</v>
      </c>
      <c r="J72" s="231">
        <v>173</v>
      </c>
      <c r="K72" s="231">
        <v>193</v>
      </c>
      <c r="L72" s="231">
        <v>176</v>
      </c>
      <c r="M72" s="231">
        <v>135</v>
      </c>
      <c r="N72" s="231">
        <v>204</v>
      </c>
      <c r="O72" s="232">
        <f t="shared" si="12"/>
        <v>1431</v>
      </c>
      <c r="P72" s="233">
        <f t="shared" si="13"/>
        <v>178.875</v>
      </c>
      <c r="Q72" s="229">
        <f t="shared" si="14"/>
        <v>88</v>
      </c>
      <c r="R72" s="229">
        <f t="shared" si="15"/>
        <v>1519</v>
      </c>
      <c r="S72" s="279">
        <f>S73</f>
        <v>3081</v>
      </c>
      <c r="T72" s="224">
        <v>67</v>
      </c>
      <c r="U72" s="31"/>
      <c r="V72" s="326">
        <f t="shared" si="16"/>
        <v>11</v>
      </c>
    </row>
    <row r="73" spans="1:22" s="30" customFormat="1" ht="18" customHeight="1">
      <c r="A73" s="253"/>
      <c r="B73" s="229" t="str">
        <f>LOOKUP($T73,Namen!$A$6:$A$117,Namen!$B$6:$B$117)</f>
        <v>Zeberli Martin</v>
      </c>
      <c r="C73" s="229" t="str">
        <f>LOOKUP($T73,Namen!$A$6:$A$117,Namen!$C$6:$C$117)</f>
        <v>TG</v>
      </c>
      <c r="D73" s="229">
        <f>LOOKUP($T73,Namen!$A$6:$A$117,Namen!$D$6:$D$117)</f>
        <v>7</v>
      </c>
      <c r="E73" s="230">
        <f>LOOKUP($T73,Namen!$A$6:$A$117,Namen!$E$6:$E$117)</f>
        <v>0</v>
      </c>
      <c r="F73" s="230">
        <f t="shared" si="11"/>
        <v>8</v>
      </c>
      <c r="G73" s="231">
        <v>141</v>
      </c>
      <c r="H73" s="231">
        <v>170</v>
      </c>
      <c r="I73" s="231">
        <v>200</v>
      </c>
      <c r="J73" s="231">
        <v>178</v>
      </c>
      <c r="K73" s="231">
        <v>171</v>
      </c>
      <c r="L73" s="231">
        <v>189</v>
      </c>
      <c r="M73" s="231">
        <v>241</v>
      </c>
      <c r="N73" s="231">
        <v>216</v>
      </c>
      <c r="O73" s="232">
        <f t="shared" si="12"/>
        <v>1506</v>
      </c>
      <c r="P73" s="233">
        <f t="shared" si="13"/>
        <v>188.25</v>
      </c>
      <c r="Q73" s="229">
        <f t="shared" si="14"/>
        <v>56</v>
      </c>
      <c r="R73" s="229">
        <f t="shared" si="15"/>
        <v>1562</v>
      </c>
      <c r="S73" s="277">
        <f>SUM(R72:R73)</f>
        <v>3081</v>
      </c>
      <c r="T73" s="224">
        <v>68</v>
      </c>
      <c r="U73" s="31"/>
      <c r="V73" s="326">
        <f t="shared" si="16"/>
        <v>16</v>
      </c>
    </row>
    <row r="74" spans="1:22" s="30" customFormat="1" ht="18" customHeight="1">
      <c r="A74" s="289">
        <v>36</v>
      </c>
      <c r="B74" s="229" t="str">
        <f>LOOKUP($T74,Namen!$A$6:$A$117,Namen!$B$6:$B$117)</f>
        <v>Hürlimann Martin</v>
      </c>
      <c r="C74" s="229" t="str">
        <f>LOOKUP($T74,Namen!$A$6:$A$117,Namen!$C$6:$C$117)</f>
        <v>ZH</v>
      </c>
      <c r="D74" s="229">
        <f>LOOKUP($T74,Namen!$A$6:$A$117,Namen!$D$6:$D$117)</f>
        <v>5</v>
      </c>
      <c r="E74" s="230">
        <f>LOOKUP($T74,Namen!$A$6:$A$117,Namen!$E$6:$E$117)</f>
        <v>0</v>
      </c>
      <c r="F74" s="230">
        <f t="shared" si="11"/>
        <v>8</v>
      </c>
      <c r="G74" s="231">
        <v>157</v>
      </c>
      <c r="H74" s="231">
        <v>192</v>
      </c>
      <c r="I74" s="231">
        <v>179</v>
      </c>
      <c r="J74" s="231">
        <v>196</v>
      </c>
      <c r="K74" s="231">
        <v>134</v>
      </c>
      <c r="L74" s="231">
        <v>207</v>
      </c>
      <c r="M74" s="231">
        <v>216</v>
      </c>
      <c r="N74" s="231">
        <v>203</v>
      </c>
      <c r="O74" s="232">
        <f t="shared" si="12"/>
        <v>1484</v>
      </c>
      <c r="P74" s="233">
        <f t="shared" si="13"/>
        <v>185.5</v>
      </c>
      <c r="Q74" s="229">
        <f t="shared" si="14"/>
        <v>40</v>
      </c>
      <c r="R74" s="229">
        <f t="shared" si="15"/>
        <v>1524</v>
      </c>
      <c r="S74" s="279">
        <f>S75</f>
        <v>3070</v>
      </c>
      <c r="T74" s="224">
        <v>69</v>
      </c>
      <c r="U74" s="31"/>
      <c r="V74" s="326">
        <f>ROUNDUP((200-(SUM(G74:L74))/COUNT(G74:L74))*0.6,0)</f>
        <v>14</v>
      </c>
    </row>
    <row r="75" spans="1:22" s="30" customFormat="1" ht="18" customHeight="1">
      <c r="A75" s="253"/>
      <c r="B75" s="229" t="str">
        <f>LOOKUP($T75,Namen!$A$6:$A$117,Namen!$B$6:$B$117)</f>
        <v>Leutwiler Sabine</v>
      </c>
      <c r="C75" s="229" t="str">
        <f>LOOKUP($T75,Namen!$A$6:$A$117,Namen!$C$6:$C$117)</f>
        <v>ZH</v>
      </c>
      <c r="D75" s="229">
        <f>LOOKUP($T75,Namen!$A$6:$A$117,Namen!$D$6:$D$117)</f>
        <v>13</v>
      </c>
      <c r="E75" s="230">
        <f>LOOKUP($T75,Namen!$A$6:$A$117,Namen!$E$6:$E$117)</f>
        <v>0</v>
      </c>
      <c r="F75" s="230">
        <f t="shared" si="11"/>
        <v>8</v>
      </c>
      <c r="G75" s="231">
        <v>203</v>
      </c>
      <c r="H75" s="231">
        <v>153</v>
      </c>
      <c r="I75" s="231">
        <v>184</v>
      </c>
      <c r="J75" s="231">
        <v>195</v>
      </c>
      <c r="K75" s="231">
        <v>184</v>
      </c>
      <c r="L75" s="231">
        <v>168</v>
      </c>
      <c r="M75" s="231">
        <v>170</v>
      </c>
      <c r="N75" s="231">
        <v>185</v>
      </c>
      <c r="O75" s="232">
        <f t="shared" si="12"/>
        <v>1442</v>
      </c>
      <c r="P75" s="233">
        <f t="shared" si="13"/>
        <v>180.25</v>
      </c>
      <c r="Q75" s="229">
        <f t="shared" si="14"/>
        <v>104</v>
      </c>
      <c r="R75" s="229">
        <f t="shared" si="15"/>
        <v>1546</v>
      </c>
      <c r="S75" s="277">
        <f>SUM(R74:R75)</f>
        <v>3070</v>
      </c>
      <c r="T75" s="224">
        <v>70</v>
      </c>
      <c r="U75" s="31"/>
      <c r="V75" s="326">
        <f>ROUNDUP((200-(SUM(G75:L75))/COUNT(G75:L75))*0.6,0)</f>
        <v>12</v>
      </c>
    </row>
    <row r="76" spans="1:22" s="30" customFormat="1" ht="18" customHeight="1">
      <c r="A76" s="289">
        <v>37</v>
      </c>
      <c r="B76" s="229" t="str">
        <f>LOOKUP($T76,Namen!$A$6:$A$117,Namen!$B$6:$B$117)</f>
        <v>Fehr Patrick</v>
      </c>
      <c r="C76" s="229" t="str">
        <f>LOOKUP($T76,Namen!$A$6:$A$117,Namen!$C$6:$C$117)</f>
        <v>TG</v>
      </c>
      <c r="D76" s="229">
        <f>LOOKUP($T76,Namen!$A$6:$A$117,Namen!$D$6:$D$117)</f>
        <v>11</v>
      </c>
      <c r="E76" s="230" t="str">
        <f>LOOKUP($T76,Namen!$A$6:$A$117,Namen!$E$6:$E$117)</f>
        <v>JB</v>
      </c>
      <c r="F76" s="230">
        <f t="shared" si="11"/>
        <v>8</v>
      </c>
      <c r="G76" s="231">
        <v>243</v>
      </c>
      <c r="H76" s="231">
        <v>148</v>
      </c>
      <c r="I76" s="231">
        <v>157</v>
      </c>
      <c r="J76" s="231">
        <v>171</v>
      </c>
      <c r="K76" s="231">
        <v>166</v>
      </c>
      <c r="L76" s="231">
        <v>201</v>
      </c>
      <c r="M76" s="231">
        <v>187</v>
      </c>
      <c r="N76" s="231">
        <v>164</v>
      </c>
      <c r="O76" s="232">
        <f t="shared" si="12"/>
        <v>1437</v>
      </c>
      <c r="P76" s="233">
        <f t="shared" si="13"/>
        <v>179.625</v>
      </c>
      <c r="Q76" s="229">
        <f t="shared" si="14"/>
        <v>88</v>
      </c>
      <c r="R76" s="229">
        <f t="shared" si="15"/>
        <v>1525</v>
      </c>
      <c r="S76" s="279">
        <f>S77</f>
        <v>3036</v>
      </c>
      <c r="T76" s="224">
        <v>7</v>
      </c>
      <c r="U76" s="31"/>
      <c r="V76" s="326">
        <f t="shared" si="16"/>
        <v>12</v>
      </c>
    </row>
    <row r="77" spans="1:22" s="30" customFormat="1" ht="18" customHeight="1">
      <c r="A77" s="253"/>
      <c r="B77" s="229" t="str">
        <f>LOOKUP($T77,Namen!$A$6:$A$117,Namen!$B$6:$B$117)</f>
        <v>Tell Alvaro</v>
      </c>
      <c r="C77" s="229" t="str">
        <f>LOOKUP($T77,Namen!$A$6:$A$117,Namen!$C$6:$C$117)</f>
        <v>TG</v>
      </c>
      <c r="D77" s="229">
        <f>LOOKUP($T77,Namen!$A$6:$A$117,Namen!$D$6:$D$117)</f>
        <v>29</v>
      </c>
      <c r="E77" s="230" t="str">
        <f>LOOKUP($T77,Namen!$A$6:$A$117,Namen!$E$6:$E$117)</f>
        <v>JB</v>
      </c>
      <c r="F77" s="230">
        <f t="shared" si="11"/>
        <v>8</v>
      </c>
      <c r="G77" s="231">
        <v>113</v>
      </c>
      <c r="H77" s="231">
        <v>134</v>
      </c>
      <c r="I77" s="231">
        <v>206</v>
      </c>
      <c r="J77" s="231">
        <v>122</v>
      </c>
      <c r="K77" s="231">
        <v>144</v>
      </c>
      <c r="L77" s="231">
        <v>194</v>
      </c>
      <c r="M77" s="231">
        <v>208</v>
      </c>
      <c r="N77" s="231">
        <v>158</v>
      </c>
      <c r="O77" s="232">
        <f t="shared" si="12"/>
        <v>1279</v>
      </c>
      <c r="P77" s="233">
        <f t="shared" si="13"/>
        <v>159.875</v>
      </c>
      <c r="Q77" s="229">
        <f t="shared" si="14"/>
        <v>232</v>
      </c>
      <c r="R77" s="229">
        <f t="shared" si="15"/>
        <v>1511</v>
      </c>
      <c r="S77" s="277">
        <f>SUM(R76:R77)</f>
        <v>3036</v>
      </c>
      <c r="T77" s="224">
        <v>8</v>
      </c>
      <c r="U77" s="31"/>
      <c r="V77" s="326">
        <f t="shared" si="16"/>
        <v>29</v>
      </c>
    </row>
    <row r="78" spans="1:22" s="30" customFormat="1" ht="18" customHeight="1">
      <c r="A78" s="289">
        <v>38</v>
      </c>
      <c r="B78" s="229" t="str">
        <f>LOOKUP($T78,Namen!$A$6:$A$117,Namen!$B$6:$B$117)</f>
        <v>Koller Susann</v>
      </c>
      <c r="C78" s="229" t="str">
        <f>LOOKUP($T78,Namen!$A$6:$A$117,Namen!$C$6:$C$117)</f>
        <v>SZ</v>
      </c>
      <c r="D78" s="229">
        <f>LOOKUP($T78,Namen!$A$6:$A$117,Namen!$D$6:$D$117)</f>
        <v>29</v>
      </c>
      <c r="E78" s="230">
        <f>LOOKUP($T78,Namen!$A$6:$A$117,Namen!$E$6:$E$117)</f>
        <v>0</v>
      </c>
      <c r="F78" s="230">
        <f t="shared" si="11"/>
        <v>8</v>
      </c>
      <c r="G78" s="231">
        <v>148</v>
      </c>
      <c r="H78" s="231">
        <v>121</v>
      </c>
      <c r="I78" s="231">
        <v>143</v>
      </c>
      <c r="J78" s="231">
        <v>151</v>
      </c>
      <c r="K78" s="231">
        <v>149</v>
      </c>
      <c r="L78" s="231">
        <v>149</v>
      </c>
      <c r="M78" s="231">
        <v>138</v>
      </c>
      <c r="N78" s="231">
        <v>159</v>
      </c>
      <c r="O78" s="232">
        <f t="shared" si="12"/>
        <v>1158</v>
      </c>
      <c r="P78" s="233">
        <f t="shared" si="13"/>
        <v>144.75</v>
      </c>
      <c r="Q78" s="229">
        <f t="shared" si="14"/>
        <v>232</v>
      </c>
      <c r="R78" s="229">
        <f t="shared" si="15"/>
        <v>1390</v>
      </c>
      <c r="S78" s="279">
        <f>S79</f>
        <v>3026</v>
      </c>
      <c r="T78" s="224">
        <v>3</v>
      </c>
      <c r="U78" s="31"/>
      <c r="V78" s="326">
        <f t="shared" si="16"/>
        <v>34</v>
      </c>
    </row>
    <row r="79" spans="1:22" s="30" customFormat="1" ht="18" customHeight="1">
      <c r="A79" s="253"/>
      <c r="B79" s="229" t="str">
        <f>LOOKUP($T79,Namen!$A$6:$A$117,Namen!$B$6:$B$117)</f>
        <v>VonDewitz Jörg</v>
      </c>
      <c r="C79" s="229" t="str">
        <f>LOOKUP($T79,Namen!$A$6:$A$117,Namen!$C$6:$C$117)</f>
        <v>SZ</v>
      </c>
      <c r="D79" s="229">
        <f>LOOKUP($T79,Namen!$A$6:$A$117,Namen!$D$6:$D$117)</f>
        <v>11</v>
      </c>
      <c r="E79" s="230">
        <f>LOOKUP($T79,Namen!$A$6:$A$117,Namen!$E$6:$E$117)</f>
        <v>0</v>
      </c>
      <c r="F79" s="230">
        <f t="shared" si="11"/>
        <v>8</v>
      </c>
      <c r="G79" s="231">
        <v>214</v>
      </c>
      <c r="H79" s="231">
        <v>183</v>
      </c>
      <c r="I79" s="231">
        <v>178</v>
      </c>
      <c r="J79" s="231">
        <v>199</v>
      </c>
      <c r="K79" s="231">
        <v>187</v>
      </c>
      <c r="L79" s="231">
        <v>196</v>
      </c>
      <c r="M79" s="231">
        <v>189</v>
      </c>
      <c r="N79" s="231">
        <v>202</v>
      </c>
      <c r="O79" s="232">
        <f t="shared" si="12"/>
        <v>1548</v>
      </c>
      <c r="P79" s="233">
        <f t="shared" si="13"/>
        <v>193.5</v>
      </c>
      <c r="Q79" s="229">
        <f t="shared" si="14"/>
        <v>88</v>
      </c>
      <c r="R79" s="229">
        <f t="shared" si="15"/>
        <v>1636</v>
      </c>
      <c r="S79" s="277">
        <f>SUM(R78:R79)</f>
        <v>3026</v>
      </c>
      <c r="T79" s="224">
        <v>4</v>
      </c>
      <c r="U79" s="31"/>
      <c r="V79" s="326">
        <f t="shared" si="16"/>
        <v>5</v>
      </c>
    </row>
    <row r="80" spans="1:22" s="30" customFormat="1" ht="18" customHeight="1">
      <c r="A80" s="289">
        <v>39</v>
      </c>
      <c r="B80" s="229" t="str">
        <f>LOOKUP($T80,Namen!$A$6:$A$117,Namen!$B$6:$B$117)</f>
        <v>Zelger Erich</v>
      </c>
      <c r="C80" s="229" t="str">
        <f>LOOKUP($T80,Namen!$A$6:$A$117,Namen!$C$6:$C$117)</f>
        <v>NW</v>
      </c>
      <c r="D80" s="229">
        <f>LOOKUP($T80,Namen!$A$6:$A$117,Namen!$D$6:$D$117)</f>
        <v>8</v>
      </c>
      <c r="E80" s="230">
        <f>LOOKUP($T80,Namen!$A$6:$A$117,Namen!$E$6:$E$117)</f>
        <v>0</v>
      </c>
      <c r="F80" s="230">
        <f t="shared" si="11"/>
        <v>8</v>
      </c>
      <c r="G80" s="231">
        <v>192</v>
      </c>
      <c r="H80" s="231">
        <v>192</v>
      </c>
      <c r="I80" s="231">
        <v>171</v>
      </c>
      <c r="J80" s="231">
        <v>173</v>
      </c>
      <c r="K80" s="231">
        <v>236</v>
      </c>
      <c r="L80" s="231">
        <v>182</v>
      </c>
      <c r="M80" s="231">
        <v>170</v>
      </c>
      <c r="N80" s="231">
        <v>173</v>
      </c>
      <c r="O80" s="232">
        <f t="shared" si="12"/>
        <v>1489</v>
      </c>
      <c r="P80" s="233">
        <f t="shared" si="13"/>
        <v>186.125</v>
      </c>
      <c r="Q80" s="229">
        <f t="shared" si="14"/>
        <v>64</v>
      </c>
      <c r="R80" s="229">
        <f t="shared" si="15"/>
        <v>1553</v>
      </c>
      <c r="S80" s="279">
        <f>S81</f>
        <v>3007</v>
      </c>
      <c r="T80" s="224">
        <v>35</v>
      </c>
      <c r="U80" s="31"/>
      <c r="V80" s="326">
        <f t="shared" si="16"/>
        <v>6</v>
      </c>
    </row>
    <row r="81" spans="1:22" s="30" customFormat="1" ht="18" customHeight="1">
      <c r="A81" s="253"/>
      <c r="B81" s="229" t="str">
        <f>LOOKUP($T81,Namen!$A$6:$A$117,Namen!$B$6:$B$117)</f>
        <v>Bieri Andy</v>
      </c>
      <c r="C81" s="229" t="str">
        <f>LOOKUP($T81,Namen!$A$6:$A$117,Namen!$C$6:$C$117)</f>
        <v>NW</v>
      </c>
      <c r="D81" s="229">
        <f>LOOKUP($T81,Namen!$A$6:$A$117,Namen!$D$6:$D$117)</f>
        <v>8</v>
      </c>
      <c r="E81" s="230">
        <f>LOOKUP($T81,Namen!$A$6:$A$117,Namen!$E$6:$E$117)</f>
        <v>0</v>
      </c>
      <c r="F81" s="230">
        <f t="shared" si="11"/>
        <v>8</v>
      </c>
      <c r="G81" s="231">
        <v>174</v>
      </c>
      <c r="H81" s="231">
        <v>168</v>
      </c>
      <c r="I81" s="231">
        <v>168</v>
      </c>
      <c r="J81" s="231">
        <v>161</v>
      </c>
      <c r="K81" s="231">
        <v>177</v>
      </c>
      <c r="L81" s="231">
        <v>216</v>
      </c>
      <c r="M81" s="231">
        <v>160</v>
      </c>
      <c r="N81" s="231">
        <v>166</v>
      </c>
      <c r="O81" s="232">
        <f t="shared" si="12"/>
        <v>1390</v>
      </c>
      <c r="P81" s="233">
        <f t="shared" si="13"/>
        <v>173.75</v>
      </c>
      <c r="Q81" s="229">
        <f t="shared" si="14"/>
        <v>64</v>
      </c>
      <c r="R81" s="229">
        <f t="shared" si="15"/>
        <v>1454</v>
      </c>
      <c r="S81" s="277">
        <f>SUM(R80:R81)</f>
        <v>3007</v>
      </c>
      <c r="T81" s="224">
        <v>36</v>
      </c>
      <c r="U81" s="31"/>
      <c r="V81" s="326">
        <f t="shared" si="16"/>
        <v>14</v>
      </c>
    </row>
    <row r="82" spans="1:22" s="30" customFormat="1" ht="18" customHeight="1">
      <c r="A82" s="289">
        <v>40</v>
      </c>
      <c r="B82" s="229" t="str">
        <f>LOOKUP($T82,Namen!$A$6:$A$117,Namen!$B$6:$B$117)</f>
        <v>Persson Göran</v>
      </c>
      <c r="C82" s="229" t="str">
        <f>LOOKUP($T82,Namen!$A$6:$A$117,Namen!$C$6:$C$117)</f>
        <v>BS</v>
      </c>
      <c r="D82" s="229">
        <f>LOOKUP($T82,Namen!$A$6:$A$117,Namen!$D$6:$D$117)</f>
        <v>1</v>
      </c>
      <c r="E82" s="230">
        <f>LOOKUP($T82,Namen!$A$6:$A$117,Namen!$E$6:$E$117)</f>
        <v>0</v>
      </c>
      <c r="F82" s="230">
        <f t="shared" si="11"/>
        <v>8</v>
      </c>
      <c r="G82" s="231">
        <v>138</v>
      </c>
      <c r="H82" s="231">
        <v>209</v>
      </c>
      <c r="I82" s="231">
        <v>176</v>
      </c>
      <c r="J82" s="231">
        <v>163</v>
      </c>
      <c r="K82" s="231">
        <v>180</v>
      </c>
      <c r="L82" s="231">
        <v>144</v>
      </c>
      <c r="M82" s="231">
        <v>194</v>
      </c>
      <c r="N82" s="231">
        <v>168</v>
      </c>
      <c r="O82" s="232">
        <f t="shared" si="12"/>
        <v>1372</v>
      </c>
      <c r="P82" s="233">
        <f t="shared" si="13"/>
        <v>171.5</v>
      </c>
      <c r="Q82" s="229">
        <f t="shared" si="14"/>
        <v>8</v>
      </c>
      <c r="R82" s="229">
        <f t="shared" si="15"/>
        <v>1380</v>
      </c>
      <c r="S82" s="279">
        <f>S83</f>
        <v>2992</v>
      </c>
      <c r="T82" s="224">
        <v>53</v>
      </c>
      <c r="U82" s="31"/>
      <c r="V82" s="326">
        <f t="shared" si="16"/>
        <v>19</v>
      </c>
    </row>
    <row r="83" spans="1:22" s="30" customFormat="1" ht="18" customHeight="1">
      <c r="A83" s="253"/>
      <c r="B83" s="229" t="str">
        <f>LOOKUP($T83,Namen!$A$6:$A$117,Namen!$B$6:$B$117)</f>
        <v>Hügin Chantal</v>
      </c>
      <c r="C83" s="229" t="str">
        <f>LOOKUP($T83,Namen!$A$6:$A$117,Namen!$C$6:$C$117)</f>
        <v>BS</v>
      </c>
      <c r="D83" s="229">
        <f>LOOKUP($T83,Namen!$A$6:$A$117,Namen!$D$6:$D$117)</f>
        <v>7</v>
      </c>
      <c r="E83" s="230">
        <f>LOOKUP($T83,Namen!$A$6:$A$117,Namen!$E$6:$E$117)</f>
        <v>0</v>
      </c>
      <c r="F83" s="230">
        <f t="shared" si="11"/>
        <v>8</v>
      </c>
      <c r="G83" s="231">
        <v>195</v>
      </c>
      <c r="H83" s="231">
        <v>220</v>
      </c>
      <c r="I83" s="231">
        <v>191</v>
      </c>
      <c r="J83" s="231">
        <v>202</v>
      </c>
      <c r="K83" s="231">
        <v>181</v>
      </c>
      <c r="L83" s="231">
        <v>184</v>
      </c>
      <c r="M83" s="231">
        <v>195</v>
      </c>
      <c r="N83" s="231">
        <v>188</v>
      </c>
      <c r="O83" s="232">
        <f t="shared" si="12"/>
        <v>1556</v>
      </c>
      <c r="P83" s="233">
        <f t="shared" si="13"/>
        <v>194.5</v>
      </c>
      <c r="Q83" s="229">
        <f t="shared" si="14"/>
        <v>56</v>
      </c>
      <c r="R83" s="229">
        <f t="shared" si="15"/>
        <v>1612</v>
      </c>
      <c r="S83" s="277">
        <f>SUM(R82:R83)</f>
        <v>2992</v>
      </c>
      <c r="T83" s="224">
        <v>54</v>
      </c>
      <c r="U83" s="31"/>
      <c r="V83" s="326">
        <f t="shared" si="16"/>
        <v>3</v>
      </c>
    </row>
    <row r="84" spans="1:22" s="30" customFormat="1" ht="18" customHeight="1">
      <c r="A84" s="289">
        <v>41</v>
      </c>
      <c r="B84" s="229" t="str">
        <f>LOOKUP($T84,Namen!$A$6:$A$117,Namen!$B$6:$B$117)</f>
        <v>Hürlimann Daniel</v>
      </c>
      <c r="C84" s="229" t="str">
        <f>LOOKUP($T84,Namen!$A$6:$A$117,Namen!$C$6:$C$117)</f>
        <v>ZH</v>
      </c>
      <c r="D84" s="229">
        <f>LOOKUP($T84,Namen!$A$6:$A$117,Namen!$D$6:$D$117)</f>
        <v>4</v>
      </c>
      <c r="E84" s="230">
        <f>LOOKUP($T84,Namen!$A$6:$A$117,Namen!$E$6:$E$117)</f>
        <v>0</v>
      </c>
      <c r="F84" s="230">
        <f t="shared" si="11"/>
        <v>8</v>
      </c>
      <c r="G84" s="231">
        <v>169</v>
      </c>
      <c r="H84" s="231">
        <v>300</v>
      </c>
      <c r="I84" s="231">
        <v>167</v>
      </c>
      <c r="J84" s="231">
        <v>217</v>
      </c>
      <c r="K84" s="231">
        <v>181</v>
      </c>
      <c r="L84" s="231">
        <v>190</v>
      </c>
      <c r="M84" s="231">
        <v>175</v>
      </c>
      <c r="N84" s="231">
        <v>199</v>
      </c>
      <c r="O84" s="232">
        <f t="shared" si="12"/>
        <v>1598</v>
      </c>
      <c r="P84" s="233">
        <f t="shared" si="13"/>
        <v>199.75</v>
      </c>
      <c r="Q84" s="229">
        <f t="shared" si="14"/>
        <v>32</v>
      </c>
      <c r="R84" s="229">
        <f t="shared" si="15"/>
        <v>1630</v>
      </c>
      <c r="S84" s="279">
        <f>S85</f>
        <v>2986</v>
      </c>
      <c r="T84" s="224">
        <v>71</v>
      </c>
      <c r="U84" s="31"/>
      <c r="V84" s="326">
        <f t="shared" si="16"/>
        <v>-3</v>
      </c>
    </row>
    <row r="85" spans="1:22" s="30" customFormat="1" ht="18" customHeight="1">
      <c r="A85" s="253"/>
      <c r="B85" s="229" t="str">
        <f>LOOKUP($T85,Namen!$A$6:$A$117,Namen!$B$6:$B$117)</f>
        <v>Loser Marta</v>
      </c>
      <c r="C85" s="229" t="str">
        <f>LOOKUP($T85,Namen!$A$6:$A$117,Namen!$C$6:$C$117)</f>
        <v>ZH</v>
      </c>
      <c r="D85" s="229">
        <f>LOOKUP($T85,Namen!$A$6:$A$117,Namen!$D$6:$D$117)</f>
        <v>23</v>
      </c>
      <c r="E85" s="230">
        <f>LOOKUP($T85,Namen!$A$6:$A$117,Namen!$E$6:$E$117)</f>
        <v>0</v>
      </c>
      <c r="F85" s="230">
        <f t="shared" si="11"/>
        <v>8</v>
      </c>
      <c r="G85" s="231">
        <v>144</v>
      </c>
      <c r="H85" s="231">
        <v>134</v>
      </c>
      <c r="I85" s="231">
        <v>153</v>
      </c>
      <c r="J85" s="231">
        <v>121</v>
      </c>
      <c r="K85" s="231">
        <v>163</v>
      </c>
      <c r="L85" s="231">
        <v>173</v>
      </c>
      <c r="M85" s="231">
        <v>125</v>
      </c>
      <c r="N85" s="231">
        <v>159</v>
      </c>
      <c r="O85" s="232">
        <f t="shared" si="12"/>
        <v>1172</v>
      </c>
      <c r="P85" s="233">
        <f t="shared" si="13"/>
        <v>146.5</v>
      </c>
      <c r="Q85" s="229">
        <f t="shared" si="14"/>
        <v>184</v>
      </c>
      <c r="R85" s="229">
        <f t="shared" si="15"/>
        <v>1356</v>
      </c>
      <c r="S85" s="277">
        <f>SUM(R84:R85)</f>
        <v>2986</v>
      </c>
      <c r="T85" s="224">
        <v>72</v>
      </c>
      <c r="U85" s="31"/>
      <c r="V85" s="326">
        <f t="shared" si="16"/>
        <v>32</v>
      </c>
    </row>
    <row r="86" spans="1:22" s="30" customFormat="1" ht="18" customHeight="1">
      <c r="A86" s="289">
        <v>42</v>
      </c>
      <c r="B86" s="229" t="str">
        <f>LOOKUP($T86,Namen!$A$6:$A$117,Namen!$B$6:$B$117)</f>
        <v>Kolb Markus</v>
      </c>
      <c r="C86" s="229" t="str">
        <f>LOOKUP($T86,Namen!$A$6:$A$117,Namen!$C$6:$C$117)</f>
        <v>ZG</v>
      </c>
      <c r="D86" s="229">
        <f>LOOKUP($T86,Namen!$A$6:$A$117,Namen!$D$6:$D$117)</f>
        <v>26</v>
      </c>
      <c r="E86" s="230">
        <f>LOOKUP($T86,Namen!$A$6:$A$117,Namen!$E$6:$E$117)</f>
        <v>0</v>
      </c>
      <c r="F86" s="230">
        <f t="shared" si="11"/>
        <v>8</v>
      </c>
      <c r="G86" s="231">
        <v>132</v>
      </c>
      <c r="H86" s="231">
        <v>190</v>
      </c>
      <c r="I86" s="231">
        <v>147</v>
      </c>
      <c r="J86" s="231">
        <v>139</v>
      </c>
      <c r="K86" s="231">
        <v>166</v>
      </c>
      <c r="L86" s="231">
        <v>172</v>
      </c>
      <c r="M86" s="231">
        <v>172</v>
      </c>
      <c r="N86" s="231">
        <v>127</v>
      </c>
      <c r="O86" s="232">
        <f t="shared" si="12"/>
        <v>1245</v>
      </c>
      <c r="P86" s="233">
        <f t="shared" si="13"/>
        <v>155.625</v>
      </c>
      <c r="Q86" s="229">
        <f t="shared" si="14"/>
        <v>208</v>
      </c>
      <c r="R86" s="229">
        <f t="shared" si="15"/>
        <v>1453</v>
      </c>
      <c r="S86" s="279">
        <f>S87</f>
        <v>2975</v>
      </c>
      <c r="T86" s="224">
        <v>87</v>
      </c>
      <c r="U86" s="31"/>
      <c r="V86" s="326">
        <f t="shared" si="16"/>
        <v>26</v>
      </c>
    </row>
    <row r="87" spans="1:22" s="30" customFormat="1" ht="18" customHeight="1">
      <c r="A87" s="253"/>
      <c r="B87" s="229" t="str">
        <f>LOOKUP($T87,Namen!$A$6:$A$117,Namen!$B$6:$B$117)</f>
        <v>Schleiss Markus</v>
      </c>
      <c r="C87" s="229" t="str">
        <f>LOOKUP($T87,Namen!$A$6:$A$117,Namen!$C$6:$C$117)</f>
        <v>ZG</v>
      </c>
      <c r="D87" s="229">
        <f>LOOKUP($T87,Namen!$A$6:$A$117,Namen!$D$6:$D$117)</f>
        <v>13</v>
      </c>
      <c r="E87" s="230">
        <f>LOOKUP($T87,Namen!$A$6:$A$117,Namen!$E$6:$E$117)</f>
        <v>0</v>
      </c>
      <c r="F87" s="230">
        <f t="shared" si="11"/>
        <v>8</v>
      </c>
      <c r="G87" s="231">
        <v>178</v>
      </c>
      <c r="H87" s="231">
        <v>208</v>
      </c>
      <c r="I87" s="231">
        <v>201</v>
      </c>
      <c r="J87" s="231">
        <v>130</v>
      </c>
      <c r="K87" s="231">
        <v>166</v>
      </c>
      <c r="L87" s="231">
        <v>170</v>
      </c>
      <c r="M87" s="231">
        <v>158</v>
      </c>
      <c r="N87" s="231">
        <v>207</v>
      </c>
      <c r="O87" s="232">
        <f t="shared" si="12"/>
        <v>1418</v>
      </c>
      <c r="P87" s="233">
        <f t="shared" si="13"/>
        <v>177.25</v>
      </c>
      <c r="Q87" s="229">
        <f t="shared" si="14"/>
        <v>104</v>
      </c>
      <c r="R87" s="229">
        <f t="shared" si="15"/>
        <v>1522</v>
      </c>
      <c r="S87" s="277">
        <f>SUM(R86:R87)</f>
        <v>2975</v>
      </c>
      <c r="T87" s="224">
        <v>88</v>
      </c>
      <c r="U87" s="31"/>
      <c r="V87" s="326">
        <f t="shared" si="16"/>
        <v>15</v>
      </c>
    </row>
    <row r="88" spans="1:22" s="30" customFormat="1" ht="18" customHeight="1">
      <c r="A88" s="289">
        <v>43</v>
      </c>
      <c r="B88" s="229" t="str">
        <f>LOOKUP($T88,Namen!$A$6:$A$117,Namen!$B$6:$B$117)</f>
        <v>Kläger Christian</v>
      </c>
      <c r="C88" s="229" t="str">
        <f>LOOKUP($T88,Namen!$A$6:$A$117,Namen!$C$6:$C$117)</f>
        <v>TG</v>
      </c>
      <c r="D88" s="229">
        <f>LOOKUP($T88,Namen!$A$6:$A$117,Namen!$D$6:$D$117)</f>
        <v>4</v>
      </c>
      <c r="E88" s="230">
        <f>LOOKUP($T88,Namen!$A$6:$A$117,Namen!$E$6:$E$117)</f>
        <v>0</v>
      </c>
      <c r="F88" s="230">
        <f t="shared" si="11"/>
        <v>8</v>
      </c>
      <c r="G88" s="231">
        <v>156</v>
      </c>
      <c r="H88" s="231">
        <v>201</v>
      </c>
      <c r="I88" s="231">
        <v>148</v>
      </c>
      <c r="J88" s="231">
        <v>147</v>
      </c>
      <c r="K88" s="231">
        <v>211</v>
      </c>
      <c r="L88" s="231">
        <v>223</v>
      </c>
      <c r="M88" s="231">
        <v>146</v>
      </c>
      <c r="N88" s="231">
        <v>183</v>
      </c>
      <c r="O88" s="232">
        <f t="shared" si="12"/>
        <v>1415</v>
      </c>
      <c r="P88" s="233">
        <f t="shared" si="13"/>
        <v>176.875</v>
      </c>
      <c r="Q88" s="229">
        <f t="shared" si="14"/>
        <v>32</v>
      </c>
      <c r="R88" s="229">
        <f t="shared" si="15"/>
        <v>1447</v>
      </c>
      <c r="S88" s="279">
        <f>S89</f>
        <v>2959</v>
      </c>
      <c r="T88" s="224">
        <v>13</v>
      </c>
      <c r="U88" s="31"/>
      <c r="V88" s="326">
        <f t="shared" si="16"/>
        <v>12</v>
      </c>
    </row>
    <row r="89" spans="1:22" s="30" customFormat="1" ht="18" customHeight="1">
      <c r="A89" s="253"/>
      <c r="B89" s="229" t="str">
        <f>LOOKUP($T89,Namen!$A$6:$A$117,Namen!$B$6:$B$117)</f>
        <v>Unternährer Peter</v>
      </c>
      <c r="C89" s="229" t="str">
        <f>LOOKUP($T89,Namen!$A$6:$A$117,Namen!$C$6:$C$117)</f>
        <v>TG</v>
      </c>
      <c r="D89" s="229">
        <f>LOOKUP($T89,Namen!$A$6:$A$117,Namen!$D$6:$D$117)</f>
        <v>7</v>
      </c>
      <c r="E89" s="230">
        <f>LOOKUP($T89,Namen!$A$6:$A$117,Namen!$E$6:$E$117)</f>
        <v>0</v>
      </c>
      <c r="F89" s="230">
        <f t="shared" si="11"/>
        <v>8</v>
      </c>
      <c r="G89" s="231">
        <v>202</v>
      </c>
      <c r="H89" s="231">
        <v>197</v>
      </c>
      <c r="I89" s="231">
        <v>159</v>
      </c>
      <c r="J89" s="231">
        <v>156</v>
      </c>
      <c r="K89" s="231">
        <v>183</v>
      </c>
      <c r="L89" s="231">
        <v>191</v>
      </c>
      <c r="M89" s="231">
        <v>164</v>
      </c>
      <c r="N89" s="231">
        <v>204</v>
      </c>
      <c r="O89" s="232">
        <f t="shared" si="12"/>
        <v>1456</v>
      </c>
      <c r="P89" s="233">
        <f t="shared" si="13"/>
        <v>182</v>
      </c>
      <c r="Q89" s="229">
        <f t="shared" si="14"/>
        <v>56</v>
      </c>
      <c r="R89" s="229">
        <f t="shared" si="15"/>
        <v>1512</v>
      </c>
      <c r="S89" s="277">
        <f>SUM(R88:R89)</f>
        <v>2959</v>
      </c>
      <c r="T89" s="224">
        <v>14</v>
      </c>
      <c r="U89" s="31"/>
      <c r="V89" s="326">
        <f t="shared" si="16"/>
        <v>12</v>
      </c>
    </row>
    <row r="90" spans="1:22" s="30" customFormat="1" ht="18" customHeight="1">
      <c r="A90" s="289">
        <v>44</v>
      </c>
      <c r="B90" s="229" t="str">
        <f>LOOKUP($T90,Namen!$A$6:$A$117,Namen!$B$6:$B$117)</f>
        <v>Kuster Marlies</v>
      </c>
      <c r="C90" s="229" t="str">
        <f>LOOKUP($T90,Namen!$A$6:$A$117,Namen!$C$6:$C$117)</f>
        <v>ZH</v>
      </c>
      <c r="D90" s="229">
        <f>LOOKUP($T90,Namen!$A$6:$A$117,Namen!$D$6:$D$117)</f>
        <v>17</v>
      </c>
      <c r="E90" s="230">
        <f>LOOKUP($T90,Namen!$A$6:$A$117,Namen!$E$6:$E$117)</f>
        <v>0</v>
      </c>
      <c r="F90" s="230">
        <f t="shared" si="11"/>
        <v>8</v>
      </c>
      <c r="G90" s="231">
        <v>168</v>
      </c>
      <c r="H90" s="231">
        <v>170</v>
      </c>
      <c r="I90" s="231">
        <v>174</v>
      </c>
      <c r="J90" s="231">
        <v>168</v>
      </c>
      <c r="K90" s="231">
        <v>166</v>
      </c>
      <c r="L90" s="231">
        <v>177</v>
      </c>
      <c r="M90" s="231">
        <v>158</v>
      </c>
      <c r="N90" s="231">
        <v>170</v>
      </c>
      <c r="O90" s="232">
        <f t="shared" si="12"/>
        <v>1351</v>
      </c>
      <c r="P90" s="233">
        <f t="shared" si="13"/>
        <v>168.875</v>
      </c>
      <c r="Q90" s="229">
        <f t="shared" si="14"/>
        <v>136</v>
      </c>
      <c r="R90" s="229">
        <f t="shared" si="15"/>
        <v>1487</v>
      </c>
      <c r="S90" s="279">
        <f>S91</f>
        <v>2891</v>
      </c>
      <c r="T90" s="224">
        <v>31</v>
      </c>
      <c r="U90" s="31"/>
      <c r="V90" s="326">
        <f t="shared" si="16"/>
        <v>18</v>
      </c>
    </row>
    <row r="91" spans="1:22" s="30" customFormat="1" ht="18" customHeight="1">
      <c r="A91" s="253"/>
      <c r="B91" s="229" t="str">
        <f>LOOKUP($T91,Namen!$A$6:$A$117,Namen!$B$6:$B$117)</f>
        <v>Schmid Linda</v>
      </c>
      <c r="C91" s="229" t="str">
        <f>LOOKUP($T91,Namen!$A$6:$A$117,Namen!$C$6:$C$117)</f>
        <v>ZH</v>
      </c>
      <c r="D91" s="229">
        <f>LOOKUP($T91,Namen!$A$6:$A$117,Namen!$D$6:$D$117)</f>
        <v>16</v>
      </c>
      <c r="E91" s="230">
        <f>LOOKUP($T91,Namen!$A$6:$A$117,Namen!$E$6:$E$117)</f>
        <v>0</v>
      </c>
      <c r="F91" s="230">
        <f t="shared" si="11"/>
        <v>8</v>
      </c>
      <c r="G91" s="231">
        <v>156</v>
      </c>
      <c r="H91" s="231">
        <v>149</v>
      </c>
      <c r="I91" s="231">
        <v>176</v>
      </c>
      <c r="J91" s="231">
        <v>149</v>
      </c>
      <c r="K91" s="231">
        <v>159</v>
      </c>
      <c r="L91" s="231">
        <v>152</v>
      </c>
      <c r="M91" s="231">
        <v>163</v>
      </c>
      <c r="N91" s="231">
        <v>172</v>
      </c>
      <c r="O91" s="232">
        <f t="shared" si="12"/>
        <v>1276</v>
      </c>
      <c r="P91" s="233">
        <f t="shared" si="13"/>
        <v>159.5</v>
      </c>
      <c r="Q91" s="229">
        <f t="shared" si="14"/>
        <v>128</v>
      </c>
      <c r="R91" s="229">
        <f t="shared" si="15"/>
        <v>1404</v>
      </c>
      <c r="S91" s="277">
        <f>SUM(R90:R91)</f>
        <v>2891</v>
      </c>
      <c r="T91" s="224">
        <v>32</v>
      </c>
      <c r="U91" s="31"/>
      <c r="V91" s="326">
        <f t="shared" si="16"/>
        <v>26</v>
      </c>
    </row>
    <row r="92" spans="1:22" s="30" customFormat="1" ht="18" customHeight="1">
      <c r="A92" s="289">
        <v>45</v>
      </c>
      <c r="B92" s="229">
        <f>LOOKUP($T92,Namen!$A$6:$A$117,Namen!$B$6:$B$117)</f>
        <v>0</v>
      </c>
      <c r="C92" s="229">
        <f>LOOKUP($T92,Namen!$A$6:$A$117,Namen!$C$6:$C$117)</f>
        <v>0</v>
      </c>
      <c r="D92" s="229">
        <f>LOOKUP($T92,Namen!$A$6:$A$117,Namen!$D$6:$D$117)</f>
        <v>0</v>
      </c>
      <c r="E92" s="230">
        <f>LOOKUP($T92,Namen!$A$6:$A$117,Namen!$E$6:$E$117)</f>
        <v>0</v>
      </c>
      <c r="F92" s="230">
        <f t="shared" si="11"/>
        <v>0</v>
      </c>
      <c r="G92" s="231"/>
      <c r="H92" s="231"/>
      <c r="I92" s="231"/>
      <c r="J92" s="231"/>
      <c r="K92" s="231"/>
      <c r="L92" s="231"/>
      <c r="M92" s="231"/>
      <c r="N92" s="231"/>
      <c r="O92" s="232">
        <f t="shared" si="12"/>
        <v>0</v>
      </c>
      <c r="P92" s="233">
        <f t="shared" si="13"/>
        <v>0</v>
      </c>
      <c r="Q92" s="229">
        <f t="shared" si="14"/>
        <v>0</v>
      </c>
      <c r="R92" s="229">
        <f t="shared" si="15"/>
        <v>0</v>
      </c>
      <c r="S92" s="279">
        <f>S93</f>
        <v>0</v>
      </c>
      <c r="T92" s="224">
        <v>65</v>
      </c>
      <c r="U92" s="31"/>
      <c r="V92" s="326" t="e">
        <f t="shared" si="16"/>
        <v>#DIV/0!</v>
      </c>
    </row>
    <row r="93" spans="1:22" s="30" customFormat="1" ht="18" customHeight="1">
      <c r="A93" s="253"/>
      <c r="B93" s="229">
        <f>LOOKUP($T93,Namen!$A$6:$A$117,Namen!$B$6:$B$117)</f>
        <v>0</v>
      </c>
      <c r="C93" s="229">
        <f>LOOKUP($T93,Namen!$A$6:$A$117,Namen!$C$6:$C$117)</f>
        <v>0</v>
      </c>
      <c r="D93" s="229">
        <f>LOOKUP($T93,Namen!$A$6:$A$117,Namen!$D$6:$D$117)</f>
        <v>0</v>
      </c>
      <c r="E93" s="230">
        <f>LOOKUP($T93,Namen!$A$6:$A$117,Namen!$E$6:$E$117)</f>
        <v>0</v>
      </c>
      <c r="F93" s="230">
        <f t="shared" si="11"/>
        <v>0</v>
      </c>
      <c r="G93" s="231"/>
      <c r="H93" s="231"/>
      <c r="I93" s="231"/>
      <c r="J93" s="231"/>
      <c r="K93" s="231"/>
      <c r="L93" s="231"/>
      <c r="M93" s="231"/>
      <c r="N93" s="231"/>
      <c r="O93" s="232">
        <f t="shared" si="12"/>
        <v>0</v>
      </c>
      <c r="P93" s="233">
        <f t="shared" si="13"/>
        <v>0</v>
      </c>
      <c r="Q93" s="229">
        <f t="shared" si="14"/>
        <v>0</v>
      </c>
      <c r="R93" s="229">
        <f t="shared" si="15"/>
        <v>0</v>
      </c>
      <c r="S93" s="277">
        <f>SUM(R92:R93)</f>
        <v>0</v>
      </c>
      <c r="T93" s="224">
        <v>66</v>
      </c>
      <c r="U93" s="31"/>
      <c r="V93" s="326" t="e">
        <f t="shared" si="16"/>
        <v>#DIV/0!</v>
      </c>
    </row>
    <row r="94" spans="1:22" s="30" customFormat="1" ht="18" customHeight="1">
      <c r="A94" s="289">
        <v>46</v>
      </c>
      <c r="B94" s="229">
        <f>LOOKUP($T94,Namen!$A$6:$A$117,Namen!$B$6:$B$117)</f>
        <v>0</v>
      </c>
      <c r="C94" s="229">
        <f>LOOKUP($T94,Namen!$A$6:$A$117,Namen!$C$6:$C$117)</f>
        <v>0</v>
      </c>
      <c r="D94" s="229">
        <f>LOOKUP($T94,Namen!$A$6:$A$117,Namen!$D$6:$D$117)</f>
        <v>0</v>
      </c>
      <c r="E94" s="230">
        <f>LOOKUP($T94,Namen!$A$6:$A$117,Namen!$E$6:$E$117)</f>
        <v>0</v>
      </c>
      <c r="F94" s="230">
        <f aca="true" t="shared" si="17" ref="F94:F102">COUNT(G94:N94)</f>
        <v>0</v>
      </c>
      <c r="G94" s="231"/>
      <c r="H94" s="231"/>
      <c r="I94" s="231"/>
      <c r="J94" s="231"/>
      <c r="K94" s="231"/>
      <c r="L94" s="231"/>
      <c r="M94" s="231"/>
      <c r="N94" s="231"/>
      <c r="O94" s="232">
        <f t="shared" si="12"/>
        <v>0</v>
      </c>
      <c r="P94" s="233">
        <f aca="true" t="shared" si="18" ref="P94:P121">IF(F94&gt;0,O94/F94,0)</f>
        <v>0</v>
      </c>
      <c r="Q94" s="229">
        <f t="shared" si="14"/>
        <v>0</v>
      </c>
      <c r="R94" s="229">
        <f t="shared" si="15"/>
        <v>0</v>
      </c>
      <c r="S94" s="279">
        <f>S95</f>
        <v>0</v>
      </c>
      <c r="T94" s="224">
        <v>91</v>
      </c>
      <c r="U94" s="31"/>
      <c r="V94" s="326" t="e">
        <f t="shared" si="16"/>
        <v>#DIV/0!</v>
      </c>
    </row>
    <row r="95" spans="1:22" s="30" customFormat="1" ht="18" customHeight="1">
      <c r="A95" s="253"/>
      <c r="B95" s="229">
        <f>LOOKUP($T95,Namen!$A$6:$A$117,Namen!$B$6:$B$117)</f>
        <v>0</v>
      </c>
      <c r="C95" s="229">
        <f>LOOKUP($T95,Namen!$A$6:$A$117,Namen!$C$6:$C$117)</f>
        <v>0</v>
      </c>
      <c r="D95" s="229">
        <f>LOOKUP($T95,Namen!$A$6:$A$117,Namen!$D$6:$D$117)</f>
        <v>0</v>
      </c>
      <c r="E95" s="230">
        <f>LOOKUP($T95,Namen!$A$6:$A$117,Namen!$E$6:$E$117)</f>
        <v>0</v>
      </c>
      <c r="F95" s="230">
        <f t="shared" si="17"/>
        <v>0</v>
      </c>
      <c r="G95" s="231"/>
      <c r="H95" s="231"/>
      <c r="I95" s="231"/>
      <c r="J95" s="231"/>
      <c r="K95" s="231"/>
      <c r="L95" s="231"/>
      <c r="M95" s="231"/>
      <c r="N95" s="231"/>
      <c r="O95" s="232">
        <f t="shared" si="12"/>
        <v>0</v>
      </c>
      <c r="P95" s="233">
        <f t="shared" si="18"/>
        <v>0</v>
      </c>
      <c r="Q95" s="229">
        <f t="shared" si="14"/>
        <v>0</v>
      </c>
      <c r="R95" s="229">
        <f t="shared" si="15"/>
        <v>0</v>
      </c>
      <c r="S95" s="277">
        <f>SUM(R94:R95)</f>
        <v>0</v>
      </c>
      <c r="T95" s="224">
        <v>92</v>
      </c>
      <c r="U95" s="31"/>
      <c r="V95" s="326" t="e">
        <f t="shared" si="16"/>
        <v>#DIV/0!</v>
      </c>
    </row>
    <row r="96" spans="1:22" s="30" customFormat="1" ht="18" customHeight="1">
      <c r="A96" s="289">
        <v>47</v>
      </c>
      <c r="B96" s="229">
        <f>LOOKUP($T96,Namen!$A$6:$A$117,Namen!$B$6:$B$117)</f>
        <v>0</v>
      </c>
      <c r="C96" s="229">
        <f>LOOKUP($T96,Namen!$A$6:$A$117,Namen!$C$6:$C$117)</f>
        <v>0</v>
      </c>
      <c r="D96" s="229">
        <f>LOOKUP($T96,Namen!$A$6:$A$117,Namen!$D$6:$D$117)</f>
        <v>0</v>
      </c>
      <c r="E96" s="230">
        <f>LOOKUP($T96,Namen!$A$6:$A$117,Namen!$E$6:$E$117)</f>
        <v>0</v>
      </c>
      <c r="F96" s="230">
        <f t="shared" si="17"/>
        <v>0</v>
      </c>
      <c r="G96" s="231"/>
      <c r="H96" s="231"/>
      <c r="I96" s="231"/>
      <c r="J96" s="231"/>
      <c r="K96" s="231"/>
      <c r="L96" s="231"/>
      <c r="M96" s="231"/>
      <c r="N96" s="231"/>
      <c r="O96" s="232">
        <f t="shared" si="12"/>
        <v>0</v>
      </c>
      <c r="P96" s="233">
        <f t="shared" si="18"/>
        <v>0</v>
      </c>
      <c r="Q96" s="229">
        <f t="shared" si="14"/>
        <v>0</v>
      </c>
      <c r="R96" s="229">
        <f t="shared" si="15"/>
        <v>0</v>
      </c>
      <c r="S96" s="279">
        <f>S97</f>
        <v>0</v>
      </c>
      <c r="T96" s="224">
        <v>93</v>
      </c>
      <c r="U96" s="31"/>
      <c r="V96" s="326" t="e">
        <f t="shared" si="16"/>
        <v>#DIV/0!</v>
      </c>
    </row>
    <row r="97" spans="1:22" s="30" customFormat="1" ht="18" customHeight="1">
      <c r="A97" s="253"/>
      <c r="B97" s="229">
        <f>LOOKUP($T97,Namen!$A$6:$A$117,Namen!$B$6:$B$117)</f>
        <v>0</v>
      </c>
      <c r="C97" s="229">
        <f>LOOKUP($T97,Namen!$A$6:$A$117,Namen!$C$6:$C$117)</f>
        <v>0</v>
      </c>
      <c r="D97" s="229">
        <f>LOOKUP($T97,Namen!$A$6:$A$117,Namen!$D$6:$D$117)</f>
        <v>0</v>
      </c>
      <c r="E97" s="230">
        <f>LOOKUP($T97,Namen!$A$6:$A$117,Namen!$E$6:$E$117)</f>
        <v>0</v>
      </c>
      <c r="F97" s="230">
        <f t="shared" si="17"/>
        <v>0</v>
      </c>
      <c r="G97" s="231"/>
      <c r="H97" s="231"/>
      <c r="I97" s="231"/>
      <c r="J97" s="231"/>
      <c r="K97" s="231"/>
      <c r="L97" s="231"/>
      <c r="M97" s="231"/>
      <c r="N97" s="231"/>
      <c r="O97" s="232">
        <f t="shared" si="12"/>
        <v>0</v>
      </c>
      <c r="P97" s="233">
        <f t="shared" si="18"/>
        <v>0</v>
      </c>
      <c r="Q97" s="229">
        <f t="shared" si="14"/>
        <v>0</v>
      </c>
      <c r="R97" s="229">
        <f t="shared" si="15"/>
        <v>0</v>
      </c>
      <c r="S97" s="277">
        <f>SUM(R96:R97)</f>
        <v>0</v>
      </c>
      <c r="T97" s="224">
        <v>94</v>
      </c>
      <c r="U97" s="31"/>
      <c r="V97" s="326" t="e">
        <f t="shared" si="16"/>
        <v>#DIV/0!</v>
      </c>
    </row>
    <row r="98" spans="1:22" s="30" customFormat="1" ht="18" customHeight="1">
      <c r="A98" s="289">
        <v>48</v>
      </c>
      <c r="B98" s="229">
        <f>LOOKUP($T98,Namen!$A$6:$A$117,Namen!$B$6:$B$117)</f>
        <v>0</v>
      </c>
      <c r="C98" s="229">
        <f>LOOKUP($T98,Namen!$A$6:$A$117,Namen!$C$6:$C$117)</f>
        <v>0</v>
      </c>
      <c r="D98" s="229">
        <f>LOOKUP($T98,Namen!$A$6:$A$117,Namen!$D$6:$D$117)</f>
        <v>0</v>
      </c>
      <c r="E98" s="230">
        <f>LOOKUP($T98,Namen!$A$6:$A$117,Namen!$E$6:$E$117)</f>
        <v>0</v>
      </c>
      <c r="F98" s="230">
        <f t="shared" si="17"/>
        <v>0</v>
      </c>
      <c r="G98" s="231"/>
      <c r="H98" s="231"/>
      <c r="I98" s="231"/>
      <c r="J98" s="231"/>
      <c r="K98" s="231"/>
      <c r="L98" s="231"/>
      <c r="M98" s="231"/>
      <c r="N98" s="231"/>
      <c r="O98" s="232">
        <f t="shared" si="12"/>
        <v>0</v>
      </c>
      <c r="P98" s="233">
        <f t="shared" si="18"/>
        <v>0</v>
      </c>
      <c r="Q98" s="229">
        <f t="shared" si="14"/>
        <v>0</v>
      </c>
      <c r="R98" s="229">
        <f t="shared" si="15"/>
        <v>0</v>
      </c>
      <c r="S98" s="279">
        <f>S99</f>
        <v>0</v>
      </c>
      <c r="T98" s="224">
        <v>95</v>
      </c>
      <c r="U98" s="31"/>
      <c r="V98" s="326" t="e">
        <f t="shared" si="16"/>
        <v>#DIV/0!</v>
      </c>
    </row>
    <row r="99" spans="1:22" s="30" customFormat="1" ht="18" customHeight="1">
      <c r="A99" s="253"/>
      <c r="B99" s="229">
        <f>LOOKUP($T99,Namen!$A$6:$A$117,Namen!$B$6:$B$117)</f>
        <v>0</v>
      </c>
      <c r="C99" s="229">
        <f>LOOKUP($T99,Namen!$A$6:$A$117,Namen!$C$6:$C$117)</f>
        <v>0</v>
      </c>
      <c r="D99" s="229">
        <f>LOOKUP($T99,Namen!$A$6:$A$117,Namen!$D$6:$D$117)</f>
        <v>0</v>
      </c>
      <c r="E99" s="230">
        <f>LOOKUP($T99,Namen!$A$6:$A$117,Namen!$E$6:$E$117)</f>
        <v>0</v>
      </c>
      <c r="F99" s="230">
        <f t="shared" si="17"/>
        <v>0</v>
      </c>
      <c r="G99" s="231"/>
      <c r="H99" s="231"/>
      <c r="I99" s="231"/>
      <c r="J99" s="231"/>
      <c r="K99" s="231"/>
      <c r="L99" s="231"/>
      <c r="M99" s="231"/>
      <c r="N99" s="231"/>
      <c r="O99" s="232">
        <f t="shared" si="12"/>
        <v>0</v>
      </c>
      <c r="P99" s="233">
        <f t="shared" si="18"/>
        <v>0</v>
      </c>
      <c r="Q99" s="229">
        <f t="shared" si="14"/>
        <v>0</v>
      </c>
      <c r="R99" s="229">
        <f t="shared" si="15"/>
        <v>0</v>
      </c>
      <c r="S99" s="277">
        <f>SUM(R98:R99)</f>
        <v>0</v>
      </c>
      <c r="T99" s="224">
        <v>96</v>
      </c>
      <c r="U99" s="31"/>
      <c r="V99" s="326" t="e">
        <f t="shared" si="16"/>
        <v>#DIV/0!</v>
      </c>
    </row>
    <row r="100" spans="1:22" s="30" customFormat="1" ht="18" customHeight="1">
      <c r="A100" s="289">
        <v>49</v>
      </c>
      <c r="B100" s="229">
        <f>LOOKUP($T100,Namen!$A$6:$A$117,Namen!$B$6:$B$117)</f>
        <v>0</v>
      </c>
      <c r="C100" s="229">
        <f>LOOKUP($T100,Namen!$A$6:$A$117,Namen!$C$6:$C$117)</f>
        <v>0</v>
      </c>
      <c r="D100" s="229">
        <f>LOOKUP($T100,Namen!$A$6:$A$117,Namen!$D$6:$D$117)</f>
        <v>0</v>
      </c>
      <c r="E100" s="230">
        <f>LOOKUP($T100,Namen!$A$6:$A$117,Namen!$E$6:$E$117)</f>
        <v>0</v>
      </c>
      <c r="F100" s="230">
        <f t="shared" si="17"/>
        <v>0</v>
      </c>
      <c r="G100" s="231"/>
      <c r="H100" s="231"/>
      <c r="I100" s="231"/>
      <c r="J100" s="231"/>
      <c r="K100" s="231"/>
      <c r="L100" s="231"/>
      <c r="M100" s="231"/>
      <c r="N100" s="231"/>
      <c r="O100" s="232">
        <f>SUM(G100:N100)</f>
        <v>0</v>
      </c>
      <c r="P100" s="233">
        <f t="shared" si="18"/>
        <v>0</v>
      </c>
      <c r="Q100" s="229">
        <f t="shared" si="14"/>
        <v>0</v>
      </c>
      <c r="R100" s="229">
        <f aca="true" t="shared" si="19" ref="R100:R105">O100+Q100</f>
        <v>0</v>
      </c>
      <c r="S100" s="279">
        <f>S101</f>
        <v>0</v>
      </c>
      <c r="T100" s="224">
        <v>97</v>
      </c>
      <c r="U100" s="31"/>
      <c r="V100" s="326" t="e">
        <f t="shared" si="16"/>
        <v>#DIV/0!</v>
      </c>
    </row>
    <row r="101" spans="1:22" s="30" customFormat="1" ht="18" customHeight="1">
      <c r="A101" s="253"/>
      <c r="B101" s="229">
        <f>LOOKUP($T101,Namen!$A$6:$A$117,Namen!$B$6:$B$117)</f>
        <v>0</v>
      </c>
      <c r="C101" s="229">
        <f>LOOKUP($T101,Namen!$A$6:$A$117,Namen!$C$6:$C$117)</f>
        <v>0</v>
      </c>
      <c r="D101" s="229">
        <f>LOOKUP($T101,Namen!$A$6:$A$117,Namen!$D$6:$D$117)</f>
        <v>0</v>
      </c>
      <c r="E101" s="230">
        <f>LOOKUP($T101,Namen!$A$6:$A$117,Namen!$E$6:$E$117)</f>
        <v>0</v>
      </c>
      <c r="F101" s="230">
        <f t="shared" si="17"/>
        <v>0</v>
      </c>
      <c r="G101" s="231"/>
      <c r="H101" s="231"/>
      <c r="I101" s="231"/>
      <c r="J101" s="231"/>
      <c r="K101" s="231"/>
      <c r="L101" s="231"/>
      <c r="M101" s="231"/>
      <c r="N101" s="231"/>
      <c r="O101" s="232">
        <f>SUM(G101:N101)</f>
        <v>0</v>
      </c>
      <c r="P101" s="233">
        <f t="shared" si="18"/>
        <v>0</v>
      </c>
      <c r="Q101" s="229">
        <f t="shared" si="14"/>
        <v>0</v>
      </c>
      <c r="R101" s="229">
        <f t="shared" si="19"/>
        <v>0</v>
      </c>
      <c r="S101" s="277">
        <f>SUM(R100:R101)</f>
        <v>0</v>
      </c>
      <c r="T101" s="224">
        <v>98</v>
      </c>
      <c r="U101" s="31"/>
      <c r="V101" s="326" t="e">
        <f t="shared" si="16"/>
        <v>#DIV/0!</v>
      </c>
    </row>
    <row r="102" spans="1:22" ht="18" customHeight="1">
      <c r="A102" s="289">
        <v>50</v>
      </c>
      <c r="B102" s="229">
        <f>LOOKUP($T102,Namen!$A$6:$A$117,Namen!$B$6:$B$117)</f>
        <v>0</v>
      </c>
      <c r="C102" s="229">
        <f>LOOKUP($T102,Namen!$A$6:$A$117,Namen!$C$6:$C$117)</f>
        <v>0</v>
      </c>
      <c r="D102" s="229">
        <f>LOOKUP($T102,Namen!$A$6:$A$117,Namen!$D$6:$D$117)</f>
        <v>0</v>
      </c>
      <c r="E102" s="230">
        <f>LOOKUP($T102,Namen!$A$6:$A$117,Namen!$E$6:$E$117)</f>
        <v>0</v>
      </c>
      <c r="F102" s="230">
        <f t="shared" si="17"/>
        <v>0</v>
      </c>
      <c r="G102" s="231"/>
      <c r="H102" s="231"/>
      <c r="I102" s="231"/>
      <c r="J102" s="231"/>
      <c r="K102" s="231"/>
      <c r="L102" s="231"/>
      <c r="M102" s="231"/>
      <c r="N102" s="231"/>
      <c r="O102" s="232">
        <f aca="true" t="shared" si="20" ref="O102:O121">SUM(G102:N102)</f>
        <v>0</v>
      </c>
      <c r="P102" s="233">
        <f t="shared" si="18"/>
        <v>0</v>
      </c>
      <c r="Q102" s="229">
        <f aca="true" t="shared" si="21" ref="Q102:Q121">D102*F102</f>
        <v>0</v>
      </c>
      <c r="R102" s="229">
        <f t="shared" si="19"/>
        <v>0</v>
      </c>
      <c r="S102" s="279">
        <f>S103</f>
        <v>0</v>
      </c>
      <c r="T102" s="224">
        <v>99</v>
      </c>
      <c r="U102" s="33"/>
      <c r="V102" s="326" t="e">
        <f t="shared" si="16"/>
        <v>#DIV/0!</v>
      </c>
    </row>
    <row r="103" spans="1:22" ht="18" customHeight="1">
      <c r="A103" s="253"/>
      <c r="B103" s="229">
        <f>LOOKUP($T103,Namen!$A$6:$A$117,Namen!$B$6:$B$117)</f>
        <v>0</v>
      </c>
      <c r="C103" s="229">
        <f>LOOKUP($T103,Namen!$A$6:$A$117,Namen!$C$6:$C$117)</f>
        <v>0</v>
      </c>
      <c r="D103" s="229">
        <f>LOOKUP($T103,Namen!$A$6:$A$117,Namen!$D$6:$D$117)</f>
        <v>0</v>
      </c>
      <c r="E103" s="230">
        <f>LOOKUP($T103,Namen!$A$6:$A$117,Namen!$E$6:$E$117)</f>
        <v>0</v>
      </c>
      <c r="F103" s="230">
        <f aca="true" t="shared" si="22" ref="F103:F113">COUNT(G103:N103)</f>
        <v>0</v>
      </c>
      <c r="G103" s="231"/>
      <c r="H103" s="231"/>
      <c r="I103" s="231"/>
      <c r="J103" s="231"/>
      <c r="K103" s="231"/>
      <c r="L103" s="231"/>
      <c r="M103" s="231"/>
      <c r="N103" s="231"/>
      <c r="O103" s="232">
        <f t="shared" si="20"/>
        <v>0</v>
      </c>
      <c r="P103" s="233">
        <f t="shared" si="18"/>
        <v>0</v>
      </c>
      <c r="Q103" s="229">
        <f t="shared" si="21"/>
        <v>0</v>
      </c>
      <c r="R103" s="229">
        <f t="shared" si="19"/>
        <v>0</v>
      </c>
      <c r="S103" s="277">
        <f>SUM(R102:R103)</f>
        <v>0</v>
      </c>
      <c r="T103" s="224">
        <v>100</v>
      </c>
      <c r="U103" s="33"/>
      <c r="V103" s="326" t="e">
        <f t="shared" si="16"/>
        <v>#DIV/0!</v>
      </c>
    </row>
    <row r="104" spans="1:22" ht="18" customHeight="1">
      <c r="A104" s="289">
        <v>51</v>
      </c>
      <c r="B104" s="229">
        <f>LOOKUP($T104,Namen!$A$6:$A$117,Namen!$B$6:$B$117)</f>
        <v>0</v>
      </c>
      <c r="C104" s="229">
        <f>LOOKUP($T104,Namen!$A$6:$A$117,Namen!$C$6:$C$117)</f>
        <v>0</v>
      </c>
      <c r="D104" s="229">
        <f>LOOKUP($T104,Namen!$A$6:$A$117,Namen!$D$6:$D$117)</f>
        <v>0</v>
      </c>
      <c r="E104" s="230">
        <f>LOOKUP($T104,Namen!$A$6:$A$117,Namen!$E$6:$E$117)</f>
        <v>0</v>
      </c>
      <c r="F104" s="230">
        <f t="shared" si="22"/>
        <v>0</v>
      </c>
      <c r="G104" s="231"/>
      <c r="H104" s="231"/>
      <c r="I104" s="231"/>
      <c r="J104" s="231"/>
      <c r="K104" s="231"/>
      <c r="L104" s="231"/>
      <c r="M104" s="231"/>
      <c r="N104" s="231"/>
      <c r="O104" s="232">
        <f t="shared" si="20"/>
        <v>0</v>
      </c>
      <c r="P104" s="233">
        <f t="shared" si="18"/>
        <v>0</v>
      </c>
      <c r="Q104" s="229">
        <f t="shared" si="21"/>
        <v>0</v>
      </c>
      <c r="R104" s="229">
        <f t="shared" si="19"/>
        <v>0</v>
      </c>
      <c r="S104" s="279">
        <f>S105</f>
        <v>0</v>
      </c>
      <c r="T104" s="224">
        <v>101</v>
      </c>
      <c r="U104" s="33"/>
      <c r="V104" s="326" t="e">
        <f t="shared" si="16"/>
        <v>#DIV/0!</v>
      </c>
    </row>
    <row r="105" spans="1:22" ht="18" customHeight="1">
      <c r="A105" s="253"/>
      <c r="B105" s="229">
        <f>LOOKUP($T105,Namen!$A$6:$A$117,Namen!$B$6:$B$117)</f>
        <v>0</v>
      </c>
      <c r="C105" s="229">
        <f>LOOKUP($T105,Namen!$A$6:$A$117,Namen!$C$6:$C$117)</f>
        <v>0</v>
      </c>
      <c r="D105" s="229">
        <f>LOOKUP($T105,Namen!$A$6:$A$117,Namen!$D$6:$D$117)</f>
        <v>0</v>
      </c>
      <c r="E105" s="230">
        <f>LOOKUP($T105,Namen!$A$6:$A$117,Namen!$E$6:$E$117)</f>
        <v>0</v>
      </c>
      <c r="F105" s="230">
        <f t="shared" si="22"/>
        <v>0</v>
      </c>
      <c r="G105" s="231"/>
      <c r="H105" s="231"/>
      <c r="I105" s="231"/>
      <c r="J105" s="231"/>
      <c r="K105" s="231"/>
      <c r="L105" s="231"/>
      <c r="M105" s="231"/>
      <c r="N105" s="231"/>
      <c r="O105" s="232">
        <f t="shared" si="20"/>
        <v>0</v>
      </c>
      <c r="P105" s="233">
        <f t="shared" si="18"/>
        <v>0</v>
      </c>
      <c r="Q105" s="229">
        <f t="shared" si="21"/>
        <v>0</v>
      </c>
      <c r="R105" s="229">
        <f t="shared" si="19"/>
        <v>0</v>
      </c>
      <c r="S105" s="277">
        <f>SUM(R104:R105)</f>
        <v>0</v>
      </c>
      <c r="T105" s="224">
        <v>102</v>
      </c>
      <c r="U105" s="33"/>
      <c r="V105" s="326" t="e">
        <f t="shared" si="16"/>
        <v>#DIV/0!</v>
      </c>
    </row>
    <row r="106" spans="1:22" s="30" customFormat="1" ht="18" customHeight="1">
      <c r="A106" s="289">
        <v>52</v>
      </c>
      <c r="B106" s="229">
        <f>LOOKUP($T106,Namen!$A$6:$A$117,Namen!$B$6:$B$117)</f>
        <v>0</v>
      </c>
      <c r="C106" s="229">
        <f>LOOKUP($T106,Namen!$A$6:$A$117,Namen!$C$6:$C$117)</f>
        <v>0</v>
      </c>
      <c r="D106" s="229">
        <f>LOOKUP($T106,Namen!$A$6:$A$117,Namen!$D$6:$D$117)</f>
        <v>0</v>
      </c>
      <c r="E106" s="230">
        <f>LOOKUP($T106,Namen!$A$6:$A$117,Namen!$E$6:$E$117)</f>
        <v>0</v>
      </c>
      <c r="F106" s="230">
        <f t="shared" si="22"/>
        <v>0</v>
      </c>
      <c r="G106" s="231"/>
      <c r="H106" s="231"/>
      <c r="I106" s="231"/>
      <c r="J106" s="231"/>
      <c r="K106" s="231"/>
      <c r="L106" s="231"/>
      <c r="M106" s="231"/>
      <c r="N106" s="231"/>
      <c r="O106" s="232">
        <f t="shared" si="20"/>
        <v>0</v>
      </c>
      <c r="P106" s="233">
        <f t="shared" si="18"/>
        <v>0</v>
      </c>
      <c r="Q106" s="229">
        <f t="shared" si="21"/>
        <v>0</v>
      </c>
      <c r="R106" s="229">
        <f aca="true" t="shared" si="23" ref="R106:R121">O106+Q106</f>
        <v>0</v>
      </c>
      <c r="S106" s="279">
        <f>S107</f>
        <v>0</v>
      </c>
      <c r="T106" s="224">
        <v>103</v>
      </c>
      <c r="U106" s="31"/>
      <c r="V106" s="326" t="e">
        <f t="shared" si="16"/>
        <v>#DIV/0!</v>
      </c>
    </row>
    <row r="107" spans="1:22" s="30" customFormat="1" ht="18" customHeight="1">
      <c r="A107" s="253"/>
      <c r="B107" s="229">
        <f>LOOKUP($T107,Namen!$A$6:$A$117,Namen!$B$6:$B$117)</f>
        <v>0</v>
      </c>
      <c r="C107" s="229">
        <f>LOOKUP($T107,Namen!$A$6:$A$117,Namen!$C$6:$C$117)</f>
        <v>0</v>
      </c>
      <c r="D107" s="229">
        <f>LOOKUP($T107,Namen!$A$6:$A$117,Namen!$D$6:$D$117)</f>
        <v>0</v>
      </c>
      <c r="E107" s="230">
        <f>LOOKUP($T107,Namen!$A$6:$A$117,Namen!$E$6:$E$117)</f>
        <v>0</v>
      </c>
      <c r="F107" s="230">
        <f t="shared" si="22"/>
        <v>0</v>
      </c>
      <c r="G107" s="231"/>
      <c r="H107" s="231"/>
      <c r="I107" s="231"/>
      <c r="J107" s="231"/>
      <c r="K107" s="231"/>
      <c r="L107" s="231"/>
      <c r="M107" s="231"/>
      <c r="N107" s="231"/>
      <c r="O107" s="232">
        <f t="shared" si="20"/>
        <v>0</v>
      </c>
      <c r="P107" s="233">
        <f t="shared" si="18"/>
        <v>0</v>
      </c>
      <c r="Q107" s="229">
        <f t="shared" si="21"/>
        <v>0</v>
      </c>
      <c r="R107" s="229">
        <f t="shared" si="23"/>
        <v>0</v>
      </c>
      <c r="S107" s="277">
        <f>SUM(R106:R107)</f>
        <v>0</v>
      </c>
      <c r="T107" s="224">
        <v>104</v>
      </c>
      <c r="U107" s="31"/>
      <c r="V107" s="326" t="e">
        <f t="shared" si="16"/>
        <v>#DIV/0!</v>
      </c>
    </row>
    <row r="108" spans="1:22" s="30" customFormat="1" ht="18" customHeight="1">
      <c r="A108" s="289">
        <v>53</v>
      </c>
      <c r="B108" s="229">
        <f>LOOKUP($T108,Namen!$A$6:$A$117,Namen!$B$6:$B$117)</f>
        <v>0</v>
      </c>
      <c r="C108" s="229">
        <f>LOOKUP($T108,Namen!$A$6:$A$117,Namen!$C$6:$C$117)</f>
        <v>0</v>
      </c>
      <c r="D108" s="229">
        <f>LOOKUP($T108,Namen!$A$6:$A$117,Namen!$D$6:$D$117)</f>
        <v>0</v>
      </c>
      <c r="E108" s="230">
        <f>LOOKUP($T108,Namen!$A$6:$A$117,Namen!$E$6:$E$117)</f>
        <v>0</v>
      </c>
      <c r="F108" s="230">
        <f t="shared" si="22"/>
        <v>0</v>
      </c>
      <c r="G108" s="231"/>
      <c r="H108" s="231"/>
      <c r="I108" s="231"/>
      <c r="J108" s="231"/>
      <c r="K108" s="231"/>
      <c r="L108" s="231"/>
      <c r="M108" s="231"/>
      <c r="N108" s="231"/>
      <c r="O108" s="232">
        <f t="shared" si="20"/>
        <v>0</v>
      </c>
      <c r="P108" s="233">
        <f t="shared" si="18"/>
        <v>0</v>
      </c>
      <c r="Q108" s="229">
        <f t="shared" si="21"/>
        <v>0</v>
      </c>
      <c r="R108" s="229">
        <f t="shared" si="23"/>
        <v>0</v>
      </c>
      <c r="S108" s="279">
        <f>S109</f>
        <v>0</v>
      </c>
      <c r="T108" s="224">
        <v>105</v>
      </c>
      <c r="U108" s="31"/>
      <c r="V108" s="326" t="e">
        <f t="shared" si="16"/>
        <v>#DIV/0!</v>
      </c>
    </row>
    <row r="109" spans="1:22" s="30" customFormat="1" ht="18" customHeight="1">
      <c r="A109" s="253"/>
      <c r="B109" s="229">
        <f>LOOKUP($T109,Namen!$A$6:$A$117,Namen!$B$6:$B$117)</f>
        <v>0</v>
      </c>
      <c r="C109" s="229">
        <f>LOOKUP($T109,Namen!$A$6:$A$117,Namen!$C$6:$C$117)</f>
        <v>0</v>
      </c>
      <c r="D109" s="229">
        <f>LOOKUP($T109,Namen!$A$6:$A$117,Namen!$D$6:$D$117)</f>
        <v>0</v>
      </c>
      <c r="E109" s="230">
        <f>LOOKUP($T109,Namen!$A$6:$A$117,Namen!$E$6:$E$117)</f>
        <v>0</v>
      </c>
      <c r="F109" s="230">
        <f t="shared" si="22"/>
        <v>0</v>
      </c>
      <c r="G109" s="231"/>
      <c r="H109" s="231"/>
      <c r="I109" s="231"/>
      <c r="J109" s="231"/>
      <c r="K109" s="231"/>
      <c r="L109" s="231"/>
      <c r="M109" s="231"/>
      <c r="N109" s="231"/>
      <c r="O109" s="232">
        <f t="shared" si="20"/>
        <v>0</v>
      </c>
      <c r="P109" s="233">
        <f t="shared" si="18"/>
        <v>0</v>
      </c>
      <c r="Q109" s="229">
        <f t="shared" si="21"/>
        <v>0</v>
      </c>
      <c r="R109" s="229">
        <f t="shared" si="23"/>
        <v>0</v>
      </c>
      <c r="S109" s="277">
        <f>SUM(R108:R109)</f>
        <v>0</v>
      </c>
      <c r="T109" s="224">
        <v>106</v>
      </c>
      <c r="U109" s="31"/>
      <c r="V109" s="326" t="e">
        <f t="shared" si="16"/>
        <v>#DIV/0!</v>
      </c>
    </row>
    <row r="110" spans="1:22" s="30" customFormat="1" ht="18" customHeight="1">
      <c r="A110" s="289">
        <v>54</v>
      </c>
      <c r="B110" s="229">
        <f>LOOKUP($T110,Namen!$A$6:$A$117,Namen!$B$6:$B$117)</f>
        <v>0</v>
      </c>
      <c r="C110" s="229">
        <f>LOOKUP($T110,Namen!$A$6:$A$117,Namen!$C$6:$C$117)</f>
        <v>0</v>
      </c>
      <c r="D110" s="229">
        <f>LOOKUP($T110,Namen!$A$6:$A$117,Namen!$D$6:$D$117)</f>
        <v>0</v>
      </c>
      <c r="E110" s="230">
        <f>LOOKUP($T110,Namen!$A$6:$A$117,Namen!$E$6:$E$117)</f>
        <v>0</v>
      </c>
      <c r="F110" s="230">
        <f t="shared" si="22"/>
        <v>0</v>
      </c>
      <c r="G110" s="231"/>
      <c r="H110" s="231"/>
      <c r="I110" s="231"/>
      <c r="J110" s="231"/>
      <c r="K110" s="231"/>
      <c r="L110" s="231"/>
      <c r="M110" s="231"/>
      <c r="N110" s="231"/>
      <c r="O110" s="232">
        <f t="shared" si="20"/>
        <v>0</v>
      </c>
      <c r="P110" s="233">
        <f t="shared" si="18"/>
        <v>0</v>
      </c>
      <c r="Q110" s="229">
        <f t="shared" si="21"/>
        <v>0</v>
      </c>
      <c r="R110" s="229">
        <f t="shared" si="23"/>
        <v>0</v>
      </c>
      <c r="S110" s="279">
        <f>S111</f>
        <v>0</v>
      </c>
      <c r="T110" s="224">
        <v>107</v>
      </c>
      <c r="U110" s="31"/>
      <c r="V110" s="326" t="e">
        <f t="shared" si="16"/>
        <v>#DIV/0!</v>
      </c>
    </row>
    <row r="111" spans="1:22" s="30" customFormat="1" ht="18" customHeight="1">
      <c r="A111" s="253"/>
      <c r="B111" s="229">
        <f>LOOKUP($T111,Namen!$A$6:$A$117,Namen!$B$6:$B$117)</f>
        <v>0</v>
      </c>
      <c r="C111" s="229">
        <f>LOOKUP($T111,Namen!$A$6:$A$117,Namen!$C$6:$C$117)</f>
        <v>0</v>
      </c>
      <c r="D111" s="229">
        <f>LOOKUP($T111,Namen!$A$6:$A$117,Namen!$D$6:$D$117)</f>
        <v>0</v>
      </c>
      <c r="E111" s="230">
        <f>LOOKUP($T111,Namen!$A$6:$A$117,Namen!$E$6:$E$117)</f>
        <v>0</v>
      </c>
      <c r="F111" s="230">
        <f t="shared" si="22"/>
        <v>0</v>
      </c>
      <c r="G111" s="231"/>
      <c r="H111" s="231"/>
      <c r="I111" s="231"/>
      <c r="J111" s="231"/>
      <c r="K111" s="231"/>
      <c r="L111" s="231"/>
      <c r="M111" s="231"/>
      <c r="N111" s="231"/>
      <c r="O111" s="232">
        <f t="shared" si="20"/>
        <v>0</v>
      </c>
      <c r="P111" s="233">
        <f t="shared" si="18"/>
        <v>0</v>
      </c>
      <c r="Q111" s="229">
        <f t="shared" si="21"/>
        <v>0</v>
      </c>
      <c r="R111" s="229">
        <f t="shared" si="23"/>
        <v>0</v>
      </c>
      <c r="S111" s="277">
        <f>SUM(R110:R111)</f>
        <v>0</v>
      </c>
      <c r="T111" s="224">
        <v>108</v>
      </c>
      <c r="U111" s="31"/>
      <c r="V111" s="326" t="e">
        <f t="shared" si="16"/>
        <v>#DIV/0!</v>
      </c>
    </row>
    <row r="112" spans="1:22" s="30" customFormat="1" ht="18" customHeight="1">
      <c r="A112" s="289">
        <v>55</v>
      </c>
      <c r="B112" s="229">
        <f>LOOKUP($T112,Namen!$A$6:$A$117,Namen!$B$6:$B$117)</f>
        <v>0</v>
      </c>
      <c r="C112" s="229">
        <f>LOOKUP($T112,Namen!$A$6:$A$117,Namen!$C$6:$C$117)</f>
        <v>0</v>
      </c>
      <c r="D112" s="229">
        <f>LOOKUP($T112,Namen!$A$6:$A$117,Namen!$D$6:$D$117)</f>
        <v>0</v>
      </c>
      <c r="E112" s="230">
        <f>LOOKUP($T112,Namen!$A$6:$A$117,Namen!$E$6:$E$117)</f>
        <v>0</v>
      </c>
      <c r="F112" s="230">
        <f t="shared" si="22"/>
        <v>0</v>
      </c>
      <c r="G112" s="231"/>
      <c r="H112" s="231"/>
      <c r="I112" s="231"/>
      <c r="J112" s="231"/>
      <c r="K112" s="231"/>
      <c r="L112" s="231"/>
      <c r="M112" s="231"/>
      <c r="N112" s="231"/>
      <c r="O112" s="232">
        <f t="shared" si="20"/>
        <v>0</v>
      </c>
      <c r="P112" s="233">
        <f t="shared" si="18"/>
        <v>0</v>
      </c>
      <c r="Q112" s="229">
        <f t="shared" si="21"/>
        <v>0</v>
      </c>
      <c r="R112" s="229">
        <f t="shared" si="23"/>
        <v>0</v>
      </c>
      <c r="S112" s="279">
        <f>S113</f>
        <v>0</v>
      </c>
      <c r="T112" s="224">
        <v>109</v>
      </c>
      <c r="U112" s="31"/>
      <c r="V112" s="326" t="e">
        <f t="shared" si="16"/>
        <v>#DIV/0!</v>
      </c>
    </row>
    <row r="113" spans="1:22" s="30" customFormat="1" ht="18" customHeight="1">
      <c r="A113" s="253"/>
      <c r="B113" s="229">
        <f>LOOKUP($T113,Namen!$A$6:$A$117,Namen!$B$6:$B$117)</f>
        <v>0</v>
      </c>
      <c r="C113" s="229">
        <f>LOOKUP($T113,Namen!$A$6:$A$117,Namen!$C$6:$C$117)</f>
        <v>0</v>
      </c>
      <c r="D113" s="229">
        <f>LOOKUP($T113,Namen!$A$6:$A$117,Namen!$D$6:$D$117)</f>
        <v>0</v>
      </c>
      <c r="E113" s="230">
        <f>LOOKUP($T113,Namen!$A$6:$A$117,Namen!$E$6:$E$117)</f>
        <v>0</v>
      </c>
      <c r="F113" s="230">
        <f t="shared" si="22"/>
        <v>0</v>
      </c>
      <c r="G113" s="231"/>
      <c r="H113" s="231"/>
      <c r="I113" s="231"/>
      <c r="J113" s="231"/>
      <c r="K113" s="231"/>
      <c r="L113" s="231"/>
      <c r="M113" s="231"/>
      <c r="N113" s="231"/>
      <c r="O113" s="232">
        <f t="shared" si="20"/>
        <v>0</v>
      </c>
      <c r="P113" s="233">
        <f t="shared" si="18"/>
        <v>0</v>
      </c>
      <c r="Q113" s="229">
        <f t="shared" si="21"/>
        <v>0</v>
      </c>
      <c r="R113" s="229">
        <f t="shared" si="23"/>
        <v>0</v>
      </c>
      <c r="S113" s="277">
        <f>SUM(R112:R113)</f>
        <v>0</v>
      </c>
      <c r="T113" s="224">
        <v>110</v>
      </c>
      <c r="U113" s="31"/>
      <c r="V113" s="326" t="e">
        <f t="shared" si="16"/>
        <v>#DIV/0!</v>
      </c>
    </row>
    <row r="114" spans="1:22" ht="18" customHeight="1">
      <c r="A114" s="289">
        <v>56</v>
      </c>
      <c r="B114" s="229">
        <f>LOOKUP($T114,Namen!$A$6:$A$117,Namen!$B$6:$B$117)</f>
        <v>0</v>
      </c>
      <c r="C114" s="229">
        <f>LOOKUP($T114,Namen!$A$6:$A$117,Namen!$C$6:$C$117)</f>
        <v>0</v>
      </c>
      <c r="D114" s="229">
        <f>LOOKUP($T114,Namen!$A$6:$A$117,Namen!$D$6:$D$117)</f>
        <v>0</v>
      </c>
      <c r="E114" s="230">
        <f>LOOKUP($T114,Namen!$A$6:$A$117,Namen!$E$6:$E$117)</f>
        <v>0</v>
      </c>
      <c r="F114" s="230">
        <f aca="true" t="shared" si="24" ref="F114:F121">COUNT(G114:N114)</f>
        <v>0</v>
      </c>
      <c r="G114" s="231"/>
      <c r="H114" s="231"/>
      <c r="I114" s="231"/>
      <c r="J114" s="231"/>
      <c r="K114" s="231"/>
      <c r="L114" s="231"/>
      <c r="M114" s="231"/>
      <c r="N114" s="231"/>
      <c r="O114" s="232">
        <f t="shared" si="20"/>
        <v>0</v>
      </c>
      <c r="P114" s="233">
        <f t="shared" si="18"/>
        <v>0</v>
      </c>
      <c r="Q114" s="229">
        <f t="shared" si="21"/>
        <v>0</v>
      </c>
      <c r="R114" s="229">
        <f t="shared" si="23"/>
        <v>0</v>
      </c>
      <c r="S114" s="279">
        <f>S115</f>
        <v>0</v>
      </c>
      <c r="T114" s="224">
        <v>111</v>
      </c>
      <c r="U114" s="33"/>
      <c r="V114" s="326" t="e">
        <f t="shared" si="16"/>
        <v>#DIV/0!</v>
      </c>
    </row>
    <row r="115" spans="1:22" ht="18" customHeight="1">
      <c r="A115" s="253"/>
      <c r="B115" s="229">
        <f>LOOKUP($T115,Namen!$A$6:$A$117,Namen!$B$6:$B$117)</f>
        <v>0</v>
      </c>
      <c r="C115" s="229">
        <f>LOOKUP($T115,Namen!$A$6:$A$117,Namen!$C$6:$C$117)</f>
        <v>0</v>
      </c>
      <c r="D115" s="229">
        <f>LOOKUP($T115,Namen!$A$6:$A$117,Namen!$D$6:$D$117)</f>
        <v>0</v>
      </c>
      <c r="E115" s="230">
        <f>LOOKUP($T115,Namen!$A$6:$A$117,Namen!$E$6:$E$117)</f>
        <v>0</v>
      </c>
      <c r="F115" s="230">
        <f t="shared" si="24"/>
        <v>0</v>
      </c>
      <c r="G115" s="231"/>
      <c r="H115" s="231"/>
      <c r="I115" s="231"/>
      <c r="J115" s="231"/>
      <c r="K115" s="231"/>
      <c r="L115" s="231"/>
      <c r="M115" s="231"/>
      <c r="N115" s="231"/>
      <c r="O115" s="232">
        <f t="shared" si="20"/>
        <v>0</v>
      </c>
      <c r="P115" s="233">
        <f t="shared" si="18"/>
        <v>0</v>
      </c>
      <c r="Q115" s="229">
        <f t="shared" si="21"/>
        <v>0</v>
      </c>
      <c r="R115" s="229">
        <f t="shared" si="23"/>
        <v>0</v>
      </c>
      <c r="S115" s="277">
        <f>SUM(R114:R115)</f>
        <v>0</v>
      </c>
      <c r="T115" s="224">
        <v>112</v>
      </c>
      <c r="U115" s="33"/>
      <c r="V115" s="326" t="e">
        <f t="shared" si="16"/>
        <v>#DIV/0!</v>
      </c>
    </row>
    <row r="116" spans="1:22" ht="18" customHeight="1">
      <c r="A116" s="289">
        <v>57</v>
      </c>
      <c r="B116" s="229" t="e">
        <f>LOOKUP($T116,Namen!$A$6:$A$117,Namen!$B$6:$B$117)</f>
        <v>#N/A</v>
      </c>
      <c r="C116" s="229" t="e">
        <f>LOOKUP($T116,Namen!$A$6:$A$117,Namen!$C$6:$C$117)</f>
        <v>#N/A</v>
      </c>
      <c r="D116" s="229" t="e">
        <f>LOOKUP($T116,Namen!$A$6:$A$117,Namen!$D$6:$D$117)</f>
        <v>#N/A</v>
      </c>
      <c r="E116" s="230" t="e">
        <f>LOOKUP($T116,Namen!$A$6:$A$117,Namen!$E$6:$E$117)</f>
        <v>#N/A</v>
      </c>
      <c r="F116" s="230">
        <f t="shared" si="24"/>
        <v>0</v>
      </c>
      <c r="G116" s="231"/>
      <c r="H116" s="231"/>
      <c r="I116" s="231"/>
      <c r="J116" s="231"/>
      <c r="K116" s="231"/>
      <c r="L116" s="231"/>
      <c r="M116" s="231"/>
      <c r="N116" s="231"/>
      <c r="O116" s="232">
        <f t="shared" si="20"/>
        <v>0</v>
      </c>
      <c r="P116" s="233">
        <f t="shared" si="18"/>
        <v>0</v>
      </c>
      <c r="Q116" s="229" t="e">
        <f t="shared" si="21"/>
        <v>#N/A</v>
      </c>
      <c r="R116" s="229" t="e">
        <f t="shared" si="23"/>
        <v>#N/A</v>
      </c>
      <c r="S116" s="279" t="e">
        <f>S117</f>
        <v>#N/A</v>
      </c>
      <c r="T116" s="224"/>
      <c r="U116" s="33"/>
      <c r="V116" s="326" t="e">
        <f t="shared" si="16"/>
        <v>#DIV/0!</v>
      </c>
    </row>
    <row r="117" spans="1:22" ht="18" customHeight="1">
      <c r="A117" s="253"/>
      <c r="B117" s="229" t="e">
        <f>LOOKUP($T117,Namen!$A$6:$A$117,Namen!$B$6:$B$117)</f>
        <v>#N/A</v>
      </c>
      <c r="C117" s="229" t="e">
        <f>LOOKUP($T117,Namen!$A$6:$A$117,Namen!$C$6:$C$117)</f>
        <v>#N/A</v>
      </c>
      <c r="D117" s="229" t="e">
        <f>LOOKUP($T117,Namen!$A$6:$A$117,Namen!$D$6:$D$117)</f>
        <v>#N/A</v>
      </c>
      <c r="E117" s="230" t="e">
        <f>LOOKUP($T117,Namen!$A$6:$A$117,Namen!$E$6:$E$117)</f>
        <v>#N/A</v>
      </c>
      <c r="F117" s="230">
        <f t="shared" si="24"/>
        <v>0</v>
      </c>
      <c r="G117" s="231"/>
      <c r="H117" s="231"/>
      <c r="I117" s="231"/>
      <c r="J117" s="231"/>
      <c r="K117" s="231"/>
      <c r="L117" s="231"/>
      <c r="M117" s="231"/>
      <c r="N117" s="231"/>
      <c r="O117" s="232">
        <f t="shared" si="20"/>
        <v>0</v>
      </c>
      <c r="P117" s="233">
        <f t="shared" si="18"/>
        <v>0</v>
      </c>
      <c r="Q117" s="229" t="e">
        <f t="shared" si="21"/>
        <v>#N/A</v>
      </c>
      <c r="R117" s="229" t="e">
        <f t="shared" si="23"/>
        <v>#N/A</v>
      </c>
      <c r="S117" s="277" t="e">
        <f>SUM(R116:R117)</f>
        <v>#N/A</v>
      </c>
      <c r="T117" s="224"/>
      <c r="U117" s="33"/>
      <c r="V117" s="326" t="e">
        <f t="shared" si="16"/>
        <v>#DIV/0!</v>
      </c>
    </row>
    <row r="118" spans="1:22" ht="18" customHeight="1">
      <c r="A118" s="289">
        <v>58</v>
      </c>
      <c r="B118" s="229" t="e">
        <f>LOOKUP($T118,Namen!$A$6:$A$117,Namen!$B$6:$B$117)</f>
        <v>#N/A</v>
      </c>
      <c r="C118" s="229" t="e">
        <f>LOOKUP($T118,Namen!$A$6:$A$117,Namen!$C$6:$C$117)</f>
        <v>#N/A</v>
      </c>
      <c r="D118" s="229" t="e">
        <f>LOOKUP($T118,Namen!$A$6:$A$117,Namen!$D$6:$D$117)</f>
        <v>#N/A</v>
      </c>
      <c r="E118" s="230" t="e">
        <f>LOOKUP($T118,Namen!$A$6:$A$117,Namen!$E$6:$E$117)</f>
        <v>#N/A</v>
      </c>
      <c r="F118" s="230">
        <f t="shared" si="24"/>
        <v>0</v>
      </c>
      <c r="G118" s="231"/>
      <c r="H118" s="231"/>
      <c r="I118" s="231"/>
      <c r="J118" s="231"/>
      <c r="K118" s="231"/>
      <c r="L118" s="231"/>
      <c r="M118" s="231"/>
      <c r="N118" s="231"/>
      <c r="O118" s="232">
        <f t="shared" si="20"/>
        <v>0</v>
      </c>
      <c r="P118" s="233">
        <f t="shared" si="18"/>
        <v>0</v>
      </c>
      <c r="Q118" s="229" t="e">
        <f t="shared" si="21"/>
        <v>#N/A</v>
      </c>
      <c r="R118" s="229" t="e">
        <f t="shared" si="23"/>
        <v>#N/A</v>
      </c>
      <c r="S118" s="279" t="e">
        <f>S119</f>
        <v>#N/A</v>
      </c>
      <c r="T118" s="224"/>
      <c r="U118" s="33"/>
      <c r="V118" s="326" t="e">
        <f t="shared" si="16"/>
        <v>#DIV/0!</v>
      </c>
    </row>
    <row r="119" spans="1:22" ht="18" customHeight="1">
      <c r="A119" s="253"/>
      <c r="B119" s="229" t="e">
        <f>LOOKUP($T119,Namen!$A$6:$A$117,Namen!$B$6:$B$117)</f>
        <v>#N/A</v>
      </c>
      <c r="C119" s="229" t="e">
        <f>LOOKUP($T119,Namen!$A$6:$A$117,Namen!$C$6:$C$117)</f>
        <v>#N/A</v>
      </c>
      <c r="D119" s="229" t="e">
        <f>LOOKUP($T119,Namen!$A$6:$A$117,Namen!$D$6:$D$117)</f>
        <v>#N/A</v>
      </c>
      <c r="E119" s="230" t="e">
        <f>LOOKUP($T119,Namen!$A$6:$A$117,Namen!$E$6:$E$117)</f>
        <v>#N/A</v>
      </c>
      <c r="F119" s="230">
        <f t="shared" si="24"/>
        <v>0</v>
      </c>
      <c r="G119" s="231"/>
      <c r="H119" s="231"/>
      <c r="I119" s="231"/>
      <c r="J119" s="231"/>
      <c r="K119" s="231"/>
      <c r="L119" s="231"/>
      <c r="M119" s="231"/>
      <c r="N119" s="231"/>
      <c r="O119" s="232">
        <f t="shared" si="20"/>
        <v>0</v>
      </c>
      <c r="P119" s="233">
        <f t="shared" si="18"/>
        <v>0</v>
      </c>
      <c r="Q119" s="229" t="e">
        <f t="shared" si="21"/>
        <v>#N/A</v>
      </c>
      <c r="R119" s="229" t="e">
        <f t="shared" si="23"/>
        <v>#N/A</v>
      </c>
      <c r="S119" s="277" t="e">
        <f>SUM(R118:R119)</f>
        <v>#N/A</v>
      </c>
      <c r="T119" s="224"/>
      <c r="U119" s="33"/>
      <c r="V119" s="326" t="e">
        <f t="shared" si="16"/>
        <v>#DIV/0!</v>
      </c>
    </row>
    <row r="120" spans="1:22" ht="15.75">
      <c r="A120" s="289">
        <v>59</v>
      </c>
      <c r="B120" s="229" t="e">
        <f>LOOKUP($T120,Namen!$A$6:$A$117,Namen!$B$6:$B$117)</f>
        <v>#N/A</v>
      </c>
      <c r="C120" s="229" t="e">
        <f>LOOKUP($T120,Namen!$A$6:$A$117,Namen!$C$6:$C$117)</f>
        <v>#N/A</v>
      </c>
      <c r="D120" s="229" t="e">
        <f>LOOKUP($T120,Namen!$A$6:$A$117,Namen!$D$6:$D$117)</f>
        <v>#N/A</v>
      </c>
      <c r="E120" s="230" t="e">
        <f>LOOKUP($T120,Namen!$A$6:$A$117,Namen!$E$6:$E$117)</f>
        <v>#N/A</v>
      </c>
      <c r="F120" s="230">
        <f t="shared" si="24"/>
        <v>0</v>
      </c>
      <c r="G120" s="231"/>
      <c r="H120" s="231"/>
      <c r="I120" s="231"/>
      <c r="J120" s="231"/>
      <c r="K120" s="231"/>
      <c r="L120" s="231"/>
      <c r="M120" s="231"/>
      <c r="N120" s="231"/>
      <c r="O120" s="232">
        <f t="shared" si="20"/>
        <v>0</v>
      </c>
      <c r="P120" s="233">
        <f t="shared" si="18"/>
        <v>0</v>
      </c>
      <c r="Q120" s="229" t="e">
        <f t="shared" si="21"/>
        <v>#N/A</v>
      </c>
      <c r="R120" s="229" t="e">
        <f t="shared" si="23"/>
        <v>#N/A</v>
      </c>
      <c r="S120" s="279" t="e">
        <f>S121</f>
        <v>#N/A</v>
      </c>
      <c r="T120" s="224"/>
      <c r="U120" s="33"/>
      <c r="V120" s="326" t="e">
        <f t="shared" si="16"/>
        <v>#DIV/0!</v>
      </c>
    </row>
    <row r="121" spans="1:22" ht="15.75">
      <c r="A121" s="253"/>
      <c r="B121" s="229" t="e">
        <f>LOOKUP($T121,Namen!$A$6:$A$117,Namen!$B$6:$B$117)</f>
        <v>#N/A</v>
      </c>
      <c r="C121" s="229" t="e">
        <f>LOOKUP($T121,Namen!$A$6:$A$117,Namen!$C$6:$C$117)</f>
        <v>#N/A</v>
      </c>
      <c r="D121" s="229" t="e">
        <f>LOOKUP($T121,Namen!$A$6:$A$117,Namen!$D$6:$D$117)</f>
        <v>#N/A</v>
      </c>
      <c r="E121" s="230" t="e">
        <f>LOOKUP($T121,Namen!$A$6:$A$117,Namen!$E$6:$E$117)</f>
        <v>#N/A</v>
      </c>
      <c r="F121" s="230">
        <f t="shared" si="24"/>
        <v>0</v>
      </c>
      <c r="G121" s="231"/>
      <c r="H121" s="231"/>
      <c r="I121" s="231"/>
      <c r="J121" s="231"/>
      <c r="K121" s="231"/>
      <c r="L121" s="231"/>
      <c r="M121" s="231"/>
      <c r="N121" s="231"/>
      <c r="O121" s="232">
        <f t="shared" si="20"/>
        <v>0</v>
      </c>
      <c r="P121" s="233">
        <f t="shared" si="18"/>
        <v>0</v>
      </c>
      <c r="Q121" s="229" t="e">
        <f t="shared" si="21"/>
        <v>#N/A</v>
      </c>
      <c r="R121" s="229" t="e">
        <f t="shared" si="23"/>
        <v>#N/A</v>
      </c>
      <c r="S121" s="277" t="e">
        <f>SUM(R120:R121)</f>
        <v>#N/A</v>
      </c>
      <c r="T121" s="224"/>
      <c r="U121" s="33"/>
      <c r="V121" s="326" t="e">
        <f t="shared" si="16"/>
        <v>#DIV/0!</v>
      </c>
    </row>
  </sheetData>
  <conditionalFormatting sqref="G122:N123">
    <cfRule type="cellIs" priority="1" dxfId="0" operator="greaterThanOrEqual" stopIfTrue="1">
      <formula>200</formula>
    </cfRule>
  </conditionalFormatting>
  <conditionalFormatting sqref="O122:O123">
    <cfRule type="cellIs" priority="2" dxfId="0" operator="greaterThanOrEqual" stopIfTrue="1">
      <formula>1200</formula>
    </cfRule>
  </conditionalFormatting>
  <conditionalFormatting sqref="G4:N121">
    <cfRule type="cellIs" priority="3" dxfId="1" operator="greaterThanOrEqual" stopIfTrue="1">
      <formula>200</formula>
    </cfRule>
  </conditionalFormatting>
  <conditionalFormatting sqref="O4:O121">
    <cfRule type="cellIs" priority="4" dxfId="1" operator="greaterThanOrEqual" stopIfTrue="1">
      <formula>1600</formula>
    </cfRule>
  </conditionalFormatting>
  <conditionalFormatting sqref="R4:R121">
    <cfRule type="cellIs" priority="5" dxfId="2" operator="greaterThanOrEqual" stopIfTrue="1">
      <formula>1600</formula>
    </cfRule>
  </conditionalFormatting>
  <conditionalFormatting sqref="S5 S7 S9 S11 S13 S15 S17 S19 S21 S23 S25 S27 S29 S31 S33 S35 S37 S39 S41 S43 S45 S47 S49 S51 S53 S55 S57 S59 S61 S63 S65 S67 S69 S71 S73 S75 S77 S79 S81 S83 S85 S87 S89 S91 S93 S95 S97 S99 S101 S103 S105 S107 S109 S111 S113 S115 S117 S119 S121">
    <cfRule type="cellIs" priority="6" dxfId="2" operator="greaterThanOrEqual" stopIfTrue="1">
      <formula>3200</formula>
    </cfRule>
  </conditionalFormatting>
  <printOptions/>
  <pageMargins left="0.4330708661417323" right="0.4724409448818898" top="0.5118110236220472" bottom="0.8267716535433072" header="0.5118110236220472" footer="0.6299212598425197"/>
  <pageSetup fitToHeight="0" fitToWidth="1" horizontalDpi="300" verticalDpi="300" orientation="portrait" paperSize="9" scale="60" r:id="rId1"/>
  <headerFooter alignWithMargins="0">
    <oddFooter>&amp;CSeite &amp;P</oddFooter>
  </headerFooter>
  <rowBreaks count="1" manualBreakCount="1">
    <brk id="61" max="18" man="1"/>
  </rowBreaks>
</worksheet>
</file>

<file path=xl/worksheets/sheet4.xml><?xml version="1.0" encoding="utf-8"?>
<worksheet xmlns="http://schemas.openxmlformats.org/spreadsheetml/2006/main" xmlns:r="http://schemas.openxmlformats.org/officeDocument/2006/relationships">
  <sheetPr>
    <pageSetUpPr fitToPage="1"/>
  </sheetPr>
  <dimension ref="A1:Z108"/>
  <sheetViews>
    <sheetView showZeros="0" zoomScale="75" zoomScaleNormal="75" workbookViewId="0" topLeftCell="A13">
      <selection activeCell="C20" sqref="C20:E35"/>
    </sheetView>
  </sheetViews>
  <sheetFormatPr defaultColWidth="11.421875" defaultRowHeight="12.75"/>
  <cols>
    <col min="1" max="1" width="6.00390625" style="3" customWidth="1"/>
    <col min="2" max="2" width="28.140625" style="0" bestFit="1" customWidth="1"/>
    <col min="3" max="3" width="5.00390625" style="7" customWidth="1"/>
    <col min="4" max="6" width="5.8515625" style="7" customWidth="1"/>
    <col min="7" max="10" width="7.28125" style="0" customWidth="1"/>
    <col min="11" max="14" width="9.00390625" style="0" customWidth="1"/>
    <col min="15" max="15" width="11.140625" style="0" bestFit="1" customWidth="1"/>
    <col min="16" max="16" width="11.421875" style="1" customWidth="1"/>
    <col min="17" max="17" width="11.421875" style="7" customWidth="1"/>
    <col min="18" max="18" width="6.00390625" style="0" customWidth="1"/>
  </cols>
  <sheetData>
    <row r="1" spans="3:26" ht="23.25">
      <c r="C1"/>
      <c r="G1" s="34" t="s">
        <v>173</v>
      </c>
      <c r="H1" s="5"/>
      <c r="I1" s="5"/>
      <c r="J1" s="5"/>
      <c r="K1" s="5"/>
      <c r="L1" s="5"/>
      <c r="M1" s="5"/>
      <c r="N1" s="5"/>
      <c r="O1" s="5"/>
      <c r="P1" s="11"/>
      <c r="R1" s="5"/>
      <c r="Z1" s="197"/>
    </row>
    <row r="2" ht="27.75" customHeight="1"/>
    <row r="3" spans="1:18" s="12" customFormat="1" ht="19.5" customHeight="1">
      <c r="A3" s="236"/>
      <c r="B3" s="237" t="s">
        <v>1</v>
      </c>
      <c r="C3" s="238" t="s">
        <v>2</v>
      </c>
      <c r="D3" s="238" t="s">
        <v>3</v>
      </c>
      <c r="E3" s="239" t="s">
        <v>4</v>
      </c>
      <c r="F3" s="238" t="s">
        <v>71</v>
      </c>
      <c r="G3" s="237" t="s">
        <v>5</v>
      </c>
      <c r="H3" s="237" t="s">
        <v>6</v>
      </c>
      <c r="I3" s="237" t="s">
        <v>7</v>
      </c>
      <c r="J3" s="237" t="s">
        <v>19</v>
      </c>
      <c r="K3" s="237" t="s">
        <v>11</v>
      </c>
      <c r="L3" s="237" t="s">
        <v>12</v>
      </c>
      <c r="M3" s="237" t="s">
        <v>3</v>
      </c>
      <c r="N3" s="237" t="s">
        <v>11</v>
      </c>
      <c r="O3" s="240" t="s">
        <v>50</v>
      </c>
      <c r="P3" s="237" t="s">
        <v>13</v>
      </c>
      <c r="Q3" s="238" t="s">
        <v>18</v>
      </c>
      <c r="R3" s="234" t="s">
        <v>54</v>
      </c>
    </row>
    <row r="4" spans="1:18" ht="21.75" customHeight="1">
      <c r="A4" s="292">
        <v>1</v>
      </c>
      <c r="B4" s="133" t="str">
        <f>LOOKUP($R4,Namen!$A$6:$A$117,Namen!$B$6:$B$117)</f>
        <v>Stucki Daryl</v>
      </c>
      <c r="C4" s="135" t="str">
        <f>LOOKUP($R4,Namen!$A$6:$A$117,Namen!$C$6:$C$117)</f>
        <v>ZH</v>
      </c>
      <c r="D4" s="135">
        <f>LOOKUP($R4,Namen!$A$6:$A$117,Namen!$D$6:$D$117)</f>
        <v>11</v>
      </c>
      <c r="E4" s="135" t="str">
        <f>LOOKUP($R4,Namen!$A$6:$A$117,Namen!$E$6:$E$117)</f>
        <v>JB</v>
      </c>
      <c r="F4" s="135">
        <f aca="true" t="shared" si="0" ref="F4:F35">COUNT(G4:J4)</f>
        <v>4</v>
      </c>
      <c r="G4" s="242">
        <v>246</v>
      </c>
      <c r="H4" s="242">
        <v>224</v>
      </c>
      <c r="I4" s="242">
        <v>202</v>
      </c>
      <c r="J4" s="242">
        <v>235</v>
      </c>
      <c r="K4" s="242">
        <f aca="true" t="shared" si="1" ref="K4:K35">SUM(G4:J4)</f>
        <v>907</v>
      </c>
      <c r="L4" s="233">
        <f aca="true" t="shared" si="2" ref="L4:L35">IF(F4&gt;0,K4/F4,0)</f>
        <v>226.75</v>
      </c>
      <c r="M4" s="133">
        <f aca="true" t="shared" si="3" ref="M4:M35">D4*COUNT(G4:J4)</f>
        <v>44</v>
      </c>
      <c r="N4" s="133">
        <f aca="true" t="shared" si="4" ref="N4:N35">K4+M4</f>
        <v>951</v>
      </c>
      <c r="O4" s="243"/>
      <c r="P4" s="284">
        <f>P5</f>
        <v>3549</v>
      </c>
      <c r="Q4" s="244"/>
      <c r="R4" s="235">
        <f>Quali!T8</f>
        <v>41</v>
      </c>
    </row>
    <row r="5" spans="1:18" ht="21.75" customHeight="1">
      <c r="A5" s="264"/>
      <c r="B5" s="133" t="str">
        <f>LOOKUP($R5,Namen!$A$6:$A$117,Namen!$B$6:$B$117)</f>
        <v>Haasper Kevin</v>
      </c>
      <c r="C5" s="135" t="str">
        <f>LOOKUP($R5,Namen!$A$6:$A$117,Namen!$C$6:$C$117)</f>
        <v>BE</v>
      </c>
      <c r="D5" s="135">
        <f>LOOKUP($R5,Namen!$A$6:$A$117,Namen!$D$6:$D$117)</f>
        <v>10</v>
      </c>
      <c r="E5" s="135" t="str">
        <f>LOOKUP($R5,Namen!$A$6:$A$117,Namen!$E$6:$E$117)</f>
        <v>JB</v>
      </c>
      <c r="F5" s="135">
        <f t="shared" si="0"/>
        <v>4</v>
      </c>
      <c r="G5" s="242">
        <v>199</v>
      </c>
      <c r="H5" s="242">
        <v>206</v>
      </c>
      <c r="I5" s="242">
        <v>226</v>
      </c>
      <c r="J5" s="242">
        <v>177</v>
      </c>
      <c r="K5" s="242">
        <f t="shared" si="1"/>
        <v>808</v>
      </c>
      <c r="L5" s="233">
        <f t="shared" si="2"/>
        <v>202</v>
      </c>
      <c r="M5" s="133">
        <f t="shared" si="3"/>
        <v>40</v>
      </c>
      <c r="N5" s="133">
        <f t="shared" si="4"/>
        <v>848</v>
      </c>
      <c r="O5" s="243">
        <f>Quali!U9</f>
        <v>1750</v>
      </c>
      <c r="P5" s="281">
        <f>N4+N5+O5</f>
        <v>3549</v>
      </c>
      <c r="Q5" s="245">
        <v>6</v>
      </c>
      <c r="R5" s="235">
        <f>Quali!T9</f>
        <v>42</v>
      </c>
    </row>
    <row r="6" spans="1:18" ht="21.75" customHeight="1">
      <c r="A6" s="292">
        <v>2</v>
      </c>
      <c r="B6" s="133" t="str">
        <f>LOOKUP($R6,Namen!$A$6:$A$117,Namen!$B$6:$B$117)</f>
        <v>Gnägi Kevin</v>
      </c>
      <c r="C6" s="135" t="str">
        <f>LOOKUP($R6,Namen!$A$6:$A$117,Namen!$C$6:$C$117)</f>
        <v>BS</v>
      </c>
      <c r="D6" s="135">
        <f>LOOKUP($R6,Namen!$A$6:$A$117,Namen!$D$6:$D$117)</f>
        <v>2</v>
      </c>
      <c r="E6" s="135">
        <f>LOOKUP($R6,Namen!$A$6:$A$117,Namen!$E$6:$E$117)</f>
        <v>0</v>
      </c>
      <c r="F6" s="135">
        <f t="shared" si="0"/>
        <v>4</v>
      </c>
      <c r="G6" s="242">
        <v>211</v>
      </c>
      <c r="H6" s="242">
        <v>233</v>
      </c>
      <c r="I6" s="242">
        <v>268</v>
      </c>
      <c r="J6" s="242">
        <v>230</v>
      </c>
      <c r="K6" s="242">
        <f t="shared" si="1"/>
        <v>942</v>
      </c>
      <c r="L6" s="233">
        <f t="shared" si="2"/>
        <v>235.5</v>
      </c>
      <c r="M6" s="133">
        <f t="shared" si="3"/>
        <v>8</v>
      </c>
      <c r="N6" s="133">
        <f t="shared" si="4"/>
        <v>950</v>
      </c>
      <c r="O6" s="243"/>
      <c r="P6" s="284">
        <f>P7</f>
        <v>3517</v>
      </c>
      <c r="Q6" s="244"/>
      <c r="R6" s="235">
        <f>Quali!T6</f>
        <v>75</v>
      </c>
    </row>
    <row r="7" spans="1:18" ht="21.75" customHeight="1">
      <c r="A7" s="264"/>
      <c r="B7" s="133" t="str">
        <f>LOOKUP($R7,Namen!$A$6:$A$117,Namen!$B$6:$B$117)</f>
        <v>Suter Martin</v>
      </c>
      <c r="C7" s="135" t="str">
        <f>LOOKUP($R7,Namen!$A$6:$A$117,Namen!$C$6:$C$117)</f>
        <v>BS</v>
      </c>
      <c r="D7" s="135">
        <f>LOOKUP($R7,Namen!$A$6:$A$117,Namen!$D$6:$D$117)</f>
        <v>1</v>
      </c>
      <c r="E7" s="135">
        <f>LOOKUP($R7,Namen!$A$6:$A$117,Namen!$E$6:$E$117)</f>
        <v>0</v>
      </c>
      <c r="F7" s="135">
        <f t="shared" si="0"/>
        <v>4</v>
      </c>
      <c r="G7" s="242">
        <v>201</v>
      </c>
      <c r="H7" s="242">
        <v>193</v>
      </c>
      <c r="I7" s="242">
        <v>194</v>
      </c>
      <c r="J7" s="242">
        <v>216</v>
      </c>
      <c r="K7" s="242">
        <f t="shared" si="1"/>
        <v>804</v>
      </c>
      <c r="L7" s="233">
        <f t="shared" si="2"/>
        <v>201</v>
      </c>
      <c r="M7" s="133">
        <f t="shared" si="3"/>
        <v>4</v>
      </c>
      <c r="N7" s="133">
        <f t="shared" si="4"/>
        <v>808</v>
      </c>
      <c r="O7" s="243">
        <f>Quali!U7</f>
        <v>1759</v>
      </c>
      <c r="P7" s="281">
        <f>N6+N7+O7</f>
        <v>3517</v>
      </c>
      <c r="Q7" s="245">
        <v>4</v>
      </c>
      <c r="R7" s="235">
        <f>Quali!T7</f>
        <v>76</v>
      </c>
    </row>
    <row r="8" spans="1:18" ht="21.75" customHeight="1">
      <c r="A8" s="292">
        <v>3</v>
      </c>
      <c r="B8" s="133" t="str">
        <f>LOOKUP($R8,Namen!$A$6:$A$117,Namen!$B$6:$B$117)</f>
        <v>Ancarani Sandro</v>
      </c>
      <c r="C8" s="135" t="str">
        <f>LOOKUP($R8,Namen!$A$6:$A$117,Namen!$C$6:$C$117)</f>
        <v>ZH</v>
      </c>
      <c r="D8" s="135">
        <f>LOOKUP($R8,Namen!$A$6:$A$117,Namen!$D$6:$D$117)</f>
        <v>0</v>
      </c>
      <c r="E8" s="135">
        <f>LOOKUP($R8,Namen!$A$6:$A$117,Namen!$E$6:$E$117)</f>
        <v>0</v>
      </c>
      <c r="F8" s="135">
        <f t="shared" si="0"/>
        <v>4</v>
      </c>
      <c r="G8" s="242">
        <v>158</v>
      </c>
      <c r="H8" s="242">
        <v>251</v>
      </c>
      <c r="I8" s="242">
        <v>257</v>
      </c>
      <c r="J8" s="242">
        <v>267</v>
      </c>
      <c r="K8" s="242">
        <f t="shared" si="1"/>
        <v>933</v>
      </c>
      <c r="L8" s="233">
        <f t="shared" si="2"/>
        <v>233.25</v>
      </c>
      <c r="M8" s="133">
        <f t="shared" si="3"/>
        <v>0</v>
      </c>
      <c r="N8" s="133">
        <f t="shared" si="4"/>
        <v>933</v>
      </c>
      <c r="O8" s="243"/>
      <c r="P8" s="284">
        <f>P9</f>
        <v>3503</v>
      </c>
      <c r="Q8" s="244"/>
      <c r="R8" s="235">
        <f>Quali!T4</f>
        <v>39</v>
      </c>
    </row>
    <row r="9" spans="1:18" ht="21.75" customHeight="1">
      <c r="A9" s="264"/>
      <c r="B9" s="133" t="str">
        <f>LOOKUP($R9,Namen!$A$6:$A$117,Namen!$B$6:$B$117)</f>
        <v>Thurston Roger</v>
      </c>
      <c r="C9" s="135" t="str">
        <f>LOOKUP($R9,Namen!$A$6:$A$117,Namen!$C$6:$C$117)</f>
        <v>ZH</v>
      </c>
      <c r="D9" s="135">
        <f>LOOKUP($R9,Namen!$A$6:$A$117,Namen!$D$6:$D$117)</f>
        <v>0</v>
      </c>
      <c r="E9" s="135">
        <f>LOOKUP($R9,Namen!$A$6:$A$117,Namen!$E$6:$E$117)</f>
        <v>0</v>
      </c>
      <c r="F9" s="135">
        <f t="shared" si="0"/>
        <v>4</v>
      </c>
      <c r="G9" s="242">
        <v>202</v>
      </c>
      <c r="H9" s="242">
        <v>178</v>
      </c>
      <c r="I9" s="242">
        <v>213</v>
      </c>
      <c r="J9" s="242">
        <v>193</v>
      </c>
      <c r="K9" s="242">
        <f t="shared" si="1"/>
        <v>786</v>
      </c>
      <c r="L9" s="233">
        <f t="shared" si="2"/>
        <v>196.5</v>
      </c>
      <c r="M9" s="133">
        <f t="shared" si="3"/>
        <v>0</v>
      </c>
      <c r="N9" s="133">
        <f t="shared" si="4"/>
        <v>786</v>
      </c>
      <c r="O9" s="243">
        <f>Quali!U5</f>
        <v>1784</v>
      </c>
      <c r="P9" s="281">
        <f>N8+N9+O9</f>
        <v>3503</v>
      </c>
      <c r="Q9" s="245">
        <v>5</v>
      </c>
      <c r="R9" s="235">
        <f>Quali!T5</f>
        <v>40</v>
      </c>
    </row>
    <row r="10" spans="1:18" ht="21.75" customHeight="1">
      <c r="A10" s="292">
        <v>4</v>
      </c>
      <c r="B10" s="133" t="str">
        <f>LOOKUP($R10,Namen!$A$6:$A$117,Namen!$B$6:$B$117)</f>
        <v>Bloch Stefan</v>
      </c>
      <c r="C10" s="135" t="str">
        <f>LOOKUP($R10,Namen!$A$6:$A$117,Namen!$C$6:$C$117)</f>
        <v>BE</v>
      </c>
      <c r="D10" s="135">
        <f>LOOKUP($R10,Namen!$A$6:$A$117,Namen!$D$6:$D$117)</f>
        <v>0</v>
      </c>
      <c r="E10" s="135">
        <f>LOOKUP($R10,Namen!$A$6:$A$117,Namen!$E$6:$E$117)</f>
        <v>0</v>
      </c>
      <c r="F10" s="135">
        <f t="shared" si="0"/>
        <v>4</v>
      </c>
      <c r="G10" s="242">
        <v>239</v>
      </c>
      <c r="H10" s="242">
        <v>204</v>
      </c>
      <c r="I10" s="242">
        <v>213</v>
      </c>
      <c r="J10" s="242">
        <v>215</v>
      </c>
      <c r="K10" s="242">
        <f t="shared" si="1"/>
        <v>871</v>
      </c>
      <c r="L10" s="233">
        <f t="shared" si="2"/>
        <v>217.75</v>
      </c>
      <c r="M10" s="133">
        <f t="shared" si="3"/>
        <v>0</v>
      </c>
      <c r="N10" s="133">
        <f t="shared" si="4"/>
        <v>871</v>
      </c>
      <c r="O10" s="243"/>
      <c r="P10" s="286">
        <f>P11</f>
        <v>3405</v>
      </c>
      <c r="Q10" s="244"/>
      <c r="R10" s="235">
        <f>Quali!T24</f>
        <v>57</v>
      </c>
    </row>
    <row r="11" spans="1:18" ht="21.75" customHeight="1">
      <c r="A11" s="264"/>
      <c r="B11" s="133" t="str">
        <f>LOOKUP($R11,Namen!$A$6:$A$117,Namen!$B$6:$B$117)</f>
        <v>Deiner Michael</v>
      </c>
      <c r="C11" s="135" t="str">
        <f>LOOKUP($R11,Namen!$A$6:$A$117,Namen!$C$6:$C$117)</f>
        <v>BS</v>
      </c>
      <c r="D11" s="135">
        <f>LOOKUP($R11,Namen!$A$6:$A$117,Namen!$D$6:$D$117)</f>
        <v>1</v>
      </c>
      <c r="E11" s="135">
        <f>LOOKUP($R11,Namen!$A$6:$A$117,Namen!$E$6:$E$117)</f>
        <v>0</v>
      </c>
      <c r="F11" s="135">
        <f t="shared" si="0"/>
        <v>4</v>
      </c>
      <c r="G11" s="242">
        <v>158</v>
      </c>
      <c r="H11" s="242">
        <v>280</v>
      </c>
      <c r="I11" s="242">
        <v>215</v>
      </c>
      <c r="J11" s="242">
        <v>211</v>
      </c>
      <c r="K11" s="242">
        <f t="shared" si="1"/>
        <v>864</v>
      </c>
      <c r="L11" s="233">
        <f t="shared" si="2"/>
        <v>216</v>
      </c>
      <c r="M11" s="133">
        <f t="shared" si="3"/>
        <v>4</v>
      </c>
      <c r="N11" s="133">
        <f t="shared" si="4"/>
        <v>868</v>
      </c>
      <c r="O11" s="243">
        <f>Quali!U25</f>
        <v>1666</v>
      </c>
      <c r="P11" s="281">
        <f>N10+N11+O11</f>
        <v>3405</v>
      </c>
      <c r="Q11" s="245">
        <v>6</v>
      </c>
      <c r="R11" s="235">
        <f>Quali!T25</f>
        <v>58</v>
      </c>
    </row>
    <row r="12" spans="1:18" ht="21.75" customHeight="1">
      <c r="A12" s="292">
        <v>5</v>
      </c>
      <c r="B12" s="133" t="str">
        <f>LOOKUP($R12,Namen!$A$6:$A$117,Namen!$B$6:$B$117)</f>
        <v>Gede Mudana</v>
      </c>
      <c r="C12" s="135" t="str">
        <f>LOOKUP($R12,Namen!$A$6:$A$117,Namen!$C$6:$C$117)</f>
        <v>BE</v>
      </c>
      <c r="D12" s="135">
        <f>LOOKUP($R12,Namen!$A$6:$A$117,Namen!$D$6:$D$117)</f>
        <v>13</v>
      </c>
      <c r="E12" s="135">
        <f>LOOKUP($R12,Namen!$A$6:$A$117,Namen!$E$6:$E$117)</f>
        <v>0</v>
      </c>
      <c r="F12" s="135">
        <f t="shared" si="0"/>
        <v>4</v>
      </c>
      <c r="G12" s="242">
        <v>200</v>
      </c>
      <c r="H12" s="242">
        <v>182</v>
      </c>
      <c r="I12" s="242">
        <v>161</v>
      </c>
      <c r="J12" s="242">
        <v>159</v>
      </c>
      <c r="K12" s="242">
        <f t="shared" si="1"/>
        <v>702</v>
      </c>
      <c r="L12" s="233">
        <f t="shared" si="2"/>
        <v>175.5</v>
      </c>
      <c r="M12" s="133">
        <f t="shared" si="3"/>
        <v>52</v>
      </c>
      <c r="N12" s="133">
        <f t="shared" si="4"/>
        <v>754</v>
      </c>
      <c r="O12" s="243"/>
      <c r="P12" s="284">
        <f>P13</f>
        <v>3380</v>
      </c>
      <c r="Q12" s="244"/>
      <c r="R12" s="235">
        <f>Quali!T12</f>
        <v>63</v>
      </c>
    </row>
    <row r="13" spans="1:18" ht="21.75" customHeight="1">
      <c r="A13" s="264"/>
      <c r="B13" s="133" t="str">
        <f>LOOKUP($R13,Namen!$A$6:$A$117,Namen!$B$6:$B$117)</f>
        <v>Gede Suyasa</v>
      </c>
      <c r="C13" s="135" t="str">
        <f>LOOKUP($R13,Namen!$A$6:$A$117,Namen!$C$6:$C$117)</f>
        <v>BE</v>
      </c>
      <c r="D13" s="135">
        <f>LOOKUP($R13,Namen!$A$6:$A$117,Namen!$D$6:$D$117)</f>
        <v>10</v>
      </c>
      <c r="E13" s="135">
        <f>LOOKUP($R13,Namen!$A$6:$A$117,Namen!$E$6:$E$117)</f>
        <v>0</v>
      </c>
      <c r="F13" s="135">
        <f t="shared" si="0"/>
        <v>4</v>
      </c>
      <c r="G13" s="242">
        <v>247</v>
      </c>
      <c r="H13" s="242">
        <v>185</v>
      </c>
      <c r="I13" s="242">
        <v>215</v>
      </c>
      <c r="J13" s="242">
        <v>223</v>
      </c>
      <c r="K13" s="242">
        <f t="shared" si="1"/>
        <v>870</v>
      </c>
      <c r="L13" s="233">
        <f t="shared" si="2"/>
        <v>217.5</v>
      </c>
      <c r="M13" s="133">
        <f t="shared" si="3"/>
        <v>40</v>
      </c>
      <c r="N13" s="133">
        <f t="shared" si="4"/>
        <v>910</v>
      </c>
      <c r="O13" s="243">
        <f>Quali!U13</f>
        <v>1716</v>
      </c>
      <c r="P13" s="282">
        <f>N12+N13+O13</f>
        <v>3380</v>
      </c>
      <c r="Q13" s="245">
        <v>7</v>
      </c>
      <c r="R13" s="235">
        <f>Quali!T13</f>
        <v>64</v>
      </c>
    </row>
    <row r="14" spans="1:18" ht="21.75" customHeight="1">
      <c r="A14" s="292">
        <v>6</v>
      </c>
      <c r="B14" s="133" t="str">
        <f>LOOKUP($R14,Namen!$A$6:$A$117,Namen!$B$6:$B$117)</f>
        <v>Jauch Daniel </v>
      </c>
      <c r="C14" s="135" t="str">
        <f>LOOKUP($R14,Namen!$A$6:$A$117,Namen!$C$6:$C$117)</f>
        <v>BE</v>
      </c>
      <c r="D14" s="135">
        <f>LOOKUP($R14,Namen!$A$6:$A$117,Namen!$D$6:$D$117)</f>
        <v>4</v>
      </c>
      <c r="E14" s="135">
        <f>LOOKUP($R14,Namen!$A$6:$A$117,Namen!$E$6:$E$117)</f>
        <v>0</v>
      </c>
      <c r="F14" s="135">
        <f t="shared" si="0"/>
        <v>4</v>
      </c>
      <c r="G14" s="242">
        <v>212</v>
      </c>
      <c r="H14" s="242">
        <v>201</v>
      </c>
      <c r="I14" s="242">
        <v>191</v>
      </c>
      <c r="J14" s="242">
        <v>201</v>
      </c>
      <c r="K14" s="242">
        <f t="shared" si="1"/>
        <v>805</v>
      </c>
      <c r="L14" s="233">
        <f t="shared" si="2"/>
        <v>201.25</v>
      </c>
      <c r="M14" s="133">
        <f t="shared" si="3"/>
        <v>16</v>
      </c>
      <c r="N14" s="133">
        <f t="shared" si="4"/>
        <v>821</v>
      </c>
      <c r="O14" s="243"/>
      <c r="P14" s="284">
        <f>P15</f>
        <v>3350</v>
      </c>
      <c r="Q14" s="244"/>
      <c r="R14" s="235">
        <f>Quali!T16</f>
        <v>79</v>
      </c>
    </row>
    <row r="15" spans="1:18" ht="21.75" customHeight="1">
      <c r="A15" s="264"/>
      <c r="B15" s="133" t="str">
        <f>LOOKUP($R15,Namen!$A$6:$A$117,Namen!$B$6:$B$117)</f>
        <v>Hubacher Stefan </v>
      </c>
      <c r="C15" s="135" t="str">
        <f>LOOKUP($R15,Namen!$A$6:$A$117,Namen!$C$6:$C$117)</f>
        <v>BE</v>
      </c>
      <c r="D15" s="135">
        <f>LOOKUP($R15,Namen!$A$6:$A$117,Namen!$D$6:$D$117)</f>
        <v>17</v>
      </c>
      <c r="E15" s="135">
        <f>LOOKUP($R15,Namen!$A$6:$A$117,Namen!$E$6:$E$117)</f>
        <v>0</v>
      </c>
      <c r="F15" s="135">
        <f t="shared" si="0"/>
        <v>4</v>
      </c>
      <c r="G15" s="242">
        <v>191</v>
      </c>
      <c r="H15" s="242">
        <v>224</v>
      </c>
      <c r="I15" s="242">
        <v>195</v>
      </c>
      <c r="J15" s="242">
        <v>163</v>
      </c>
      <c r="K15" s="242">
        <f t="shared" si="1"/>
        <v>773</v>
      </c>
      <c r="L15" s="233">
        <f t="shared" si="2"/>
        <v>193.25</v>
      </c>
      <c r="M15" s="133">
        <f t="shared" si="3"/>
        <v>68</v>
      </c>
      <c r="N15" s="133">
        <f t="shared" si="4"/>
        <v>841</v>
      </c>
      <c r="O15" s="243">
        <f>Quali!U17</f>
        <v>1688</v>
      </c>
      <c r="P15" s="282">
        <f>N14+N15+O15</f>
        <v>3350</v>
      </c>
      <c r="Q15" s="245">
        <v>8</v>
      </c>
      <c r="R15" s="235">
        <f>Quali!T17</f>
        <v>80</v>
      </c>
    </row>
    <row r="16" spans="1:18" ht="21.75" customHeight="1">
      <c r="A16" s="292">
        <v>7</v>
      </c>
      <c r="B16" s="133" t="str">
        <f>LOOKUP($R16,Namen!$A$6:$A$117,Namen!$B$6:$B$117)</f>
        <v>Meyer Samuel</v>
      </c>
      <c r="C16" s="135" t="str">
        <f>LOOKUP($R16,Namen!$A$6:$A$117,Namen!$C$6:$C$117)</f>
        <v>BE</v>
      </c>
      <c r="D16" s="135">
        <f>LOOKUP($R16,Namen!$A$6:$A$117,Namen!$D$6:$D$117)</f>
        <v>16</v>
      </c>
      <c r="E16" s="135">
        <f>LOOKUP($R16,Namen!$A$6:$A$117,Namen!$E$6:$E$117)</f>
        <v>0</v>
      </c>
      <c r="F16" s="135">
        <f t="shared" si="0"/>
        <v>4</v>
      </c>
      <c r="G16" s="242">
        <v>163</v>
      </c>
      <c r="H16" s="242">
        <v>181</v>
      </c>
      <c r="I16" s="242">
        <v>190</v>
      </c>
      <c r="J16" s="242">
        <v>190</v>
      </c>
      <c r="K16" s="242">
        <f t="shared" si="1"/>
        <v>724</v>
      </c>
      <c r="L16" s="233">
        <f t="shared" si="2"/>
        <v>181</v>
      </c>
      <c r="M16" s="133">
        <f t="shared" si="3"/>
        <v>64</v>
      </c>
      <c r="N16" s="133">
        <f t="shared" si="4"/>
        <v>788</v>
      </c>
      <c r="O16" s="243"/>
      <c r="P16" s="284">
        <f>P17</f>
        <v>3340</v>
      </c>
      <c r="Q16" s="244"/>
      <c r="R16" s="235">
        <f>Quali!T34</f>
        <v>61</v>
      </c>
    </row>
    <row r="17" spans="1:18" ht="21.75" customHeight="1">
      <c r="A17" s="264"/>
      <c r="B17" s="133" t="str">
        <f>LOOKUP($R17,Namen!$A$6:$A$117,Namen!$B$6:$B$117)</f>
        <v>Punsalan Dany</v>
      </c>
      <c r="C17" s="135" t="str">
        <f>LOOKUP($R17,Namen!$A$6:$A$117,Namen!$C$6:$C$117)</f>
        <v>BE</v>
      </c>
      <c r="D17" s="135">
        <f>LOOKUP($R17,Namen!$A$6:$A$117,Namen!$D$6:$D$117)</f>
        <v>12</v>
      </c>
      <c r="E17" s="135">
        <f>LOOKUP($R17,Namen!$A$6:$A$117,Namen!$E$6:$E$117)</f>
        <v>0</v>
      </c>
      <c r="F17" s="135">
        <f t="shared" si="0"/>
        <v>4</v>
      </c>
      <c r="G17" s="242">
        <v>200</v>
      </c>
      <c r="H17" s="242">
        <v>181</v>
      </c>
      <c r="I17" s="242">
        <v>250</v>
      </c>
      <c r="J17" s="242">
        <v>237</v>
      </c>
      <c r="K17" s="242">
        <f t="shared" si="1"/>
        <v>868</v>
      </c>
      <c r="L17" s="233">
        <f t="shared" si="2"/>
        <v>217</v>
      </c>
      <c r="M17" s="133">
        <f t="shared" si="3"/>
        <v>48</v>
      </c>
      <c r="N17" s="133">
        <f t="shared" si="4"/>
        <v>916</v>
      </c>
      <c r="O17" s="243">
        <f>Quali!U35</f>
        <v>1636</v>
      </c>
      <c r="P17" s="281">
        <f>N16+N17+O17</f>
        <v>3340</v>
      </c>
      <c r="Q17" s="245">
        <v>1</v>
      </c>
      <c r="R17" s="235">
        <f>Quali!T35</f>
        <v>62</v>
      </c>
    </row>
    <row r="18" spans="1:18" ht="21.75" customHeight="1">
      <c r="A18" s="292">
        <v>8</v>
      </c>
      <c r="B18" s="133" t="str">
        <f>LOOKUP($R18,Namen!$A$6:$A$117,Namen!$B$6:$B$117)</f>
        <v>Ancarani Mario</v>
      </c>
      <c r="C18" s="135" t="str">
        <f>LOOKUP($R18,Namen!$A$6:$A$117,Namen!$C$6:$C$117)</f>
        <v>ZH</v>
      </c>
      <c r="D18" s="135">
        <f>LOOKUP($R18,Namen!$A$6:$A$117,Namen!$D$6:$D$117)</f>
        <v>8</v>
      </c>
      <c r="E18" s="135">
        <f>LOOKUP($R18,Namen!$A$6:$A$117,Namen!$E$6:$E$117)</f>
        <v>0</v>
      </c>
      <c r="F18" s="135">
        <f t="shared" si="0"/>
        <v>4</v>
      </c>
      <c r="G18" s="242">
        <v>189</v>
      </c>
      <c r="H18" s="242">
        <v>191</v>
      </c>
      <c r="I18" s="242">
        <v>191</v>
      </c>
      <c r="J18" s="242">
        <v>214</v>
      </c>
      <c r="K18" s="242">
        <f t="shared" si="1"/>
        <v>785</v>
      </c>
      <c r="L18" s="233">
        <f t="shared" si="2"/>
        <v>196.25</v>
      </c>
      <c r="M18" s="133">
        <f t="shared" si="3"/>
        <v>32</v>
      </c>
      <c r="N18" s="133">
        <f t="shared" si="4"/>
        <v>817</v>
      </c>
      <c r="O18" s="243"/>
      <c r="P18" s="284">
        <f>P19</f>
        <v>3305</v>
      </c>
      <c r="Q18" s="244"/>
      <c r="R18" s="235">
        <f>Quali!T28</f>
        <v>37</v>
      </c>
    </row>
    <row r="19" spans="1:18" ht="21.75" customHeight="1" thickBot="1">
      <c r="A19" s="291"/>
      <c r="B19" s="267" t="str">
        <f>LOOKUP($R19,Namen!$A$6:$A$117,Namen!$B$6:$B$117)</f>
        <v>Fiorani Lucio</v>
      </c>
      <c r="C19" s="268" t="str">
        <f>LOOKUP($R19,Namen!$A$6:$A$117,Namen!$C$6:$C$117)</f>
        <v>ZH</v>
      </c>
      <c r="D19" s="268">
        <f>LOOKUP($R19,Namen!$A$6:$A$117,Namen!$D$6:$D$117)</f>
        <v>0</v>
      </c>
      <c r="E19" s="268">
        <f>LOOKUP($R19,Namen!$A$6:$A$117,Namen!$E$6:$E$117)</f>
        <v>0</v>
      </c>
      <c r="F19" s="268">
        <f t="shared" si="0"/>
        <v>4</v>
      </c>
      <c r="G19" s="269">
        <v>187</v>
      </c>
      <c r="H19" s="269">
        <v>223</v>
      </c>
      <c r="I19" s="269">
        <v>202</v>
      </c>
      <c r="J19" s="269">
        <v>226</v>
      </c>
      <c r="K19" s="269">
        <f t="shared" si="1"/>
        <v>838</v>
      </c>
      <c r="L19" s="263">
        <f t="shared" si="2"/>
        <v>209.5</v>
      </c>
      <c r="M19" s="267">
        <f t="shared" si="3"/>
        <v>0</v>
      </c>
      <c r="N19" s="267">
        <f t="shared" si="4"/>
        <v>838</v>
      </c>
      <c r="O19" s="332">
        <f>Quali!U29</f>
        <v>1650</v>
      </c>
      <c r="P19" s="283">
        <f>N18+N19+O19</f>
        <v>3305</v>
      </c>
      <c r="Q19" s="270">
        <v>7</v>
      </c>
      <c r="R19" s="235">
        <f>Quali!T29</f>
        <v>38</v>
      </c>
    </row>
    <row r="20" spans="1:18" ht="21.75" customHeight="1" thickTop="1">
      <c r="A20" s="293">
        <v>9</v>
      </c>
      <c r="B20" s="158" t="str">
        <f>LOOKUP($R20,Namen!$A$6:$A$117,Namen!$B$6:$B$117)</f>
        <v>Kuratli Walter</v>
      </c>
      <c r="C20" s="160" t="str">
        <f>LOOKUP($R20,Namen!$A$6:$A$117,Namen!$C$6:$C$117)</f>
        <v>TG</v>
      </c>
      <c r="D20" s="160">
        <f>LOOKUP($R20,Namen!$A$6:$A$117,Namen!$D$6:$D$117)</f>
        <v>5</v>
      </c>
      <c r="E20" s="160"/>
      <c r="F20" s="160">
        <f t="shared" si="0"/>
        <v>4</v>
      </c>
      <c r="G20" s="265">
        <v>180</v>
      </c>
      <c r="H20" s="265">
        <v>171</v>
      </c>
      <c r="I20" s="265">
        <v>179</v>
      </c>
      <c r="J20" s="265">
        <v>203</v>
      </c>
      <c r="K20" s="265">
        <f t="shared" si="1"/>
        <v>733</v>
      </c>
      <c r="L20" s="258">
        <f t="shared" si="2"/>
        <v>183.25</v>
      </c>
      <c r="M20" s="158">
        <f t="shared" si="3"/>
        <v>20</v>
      </c>
      <c r="N20" s="158">
        <f t="shared" si="4"/>
        <v>753</v>
      </c>
      <c r="O20" s="243"/>
      <c r="P20" s="285">
        <f>P21</f>
        <v>3293</v>
      </c>
      <c r="Q20" s="244"/>
      <c r="R20" s="235">
        <f>Quali!T20</f>
        <v>11</v>
      </c>
    </row>
    <row r="21" spans="1:18" ht="21.75" customHeight="1">
      <c r="A21" s="264"/>
      <c r="B21" s="133" t="str">
        <f>LOOKUP($R21,Namen!$A$6:$A$117,Namen!$B$6:$B$117)</f>
        <v>Caplette Claude</v>
      </c>
      <c r="C21" s="135" t="str">
        <f>LOOKUP($R21,Namen!$A$6:$A$117,Namen!$C$6:$C$117)</f>
        <v>TG</v>
      </c>
      <c r="D21" s="135">
        <f>LOOKUP($R21,Namen!$A$6:$A$117,Namen!$D$6:$D$117)</f>
        <v>11</v>
      </c>
      <c r="E21" s="135">
        <f>LOOKUP($R21,Namen!$A$6:$A$117,Namen!$E$6:$E$117)</f>
        <v>0</v>
      </c>
      <c r="F21" s="135">
        <f t="shared" si="0"/>
        <v>4</v>
      </c>
      <c r="G21" s="242">
        <v>215</v>
      </c>
      <c r="H21" s="242">
        <v>205</v>
      </c>
      <c r="I21" s="242">
        <v>169</v>
      </c>
      <c r="J21" s="242">
        <v>222</v>
      </c>
      <c r="K21" s="242">
        <f t="shared" si="1"/>
        <v>811</v>
      </c>
      <c r="L21" s="233">
        <f t="shared" si="2"/>
        <v>202.75</v>
      </c>
      <c r="M21" s="133">
        <f t="shared" si="3"/>
        <v>44</v>
      </c>
      <c r="N21" s="133">
        <f t="shared" si="4"/>
        <v>855</v>
      </c>
      <c r="O21" s="243">
        <f>Quali!U21</f>
        <v>1685</v>
      </c>
      <c r="P21" s="281">
        <f>N20+N21+O21</f>
        <v>3293</v>
      </c>
      <c r="Q21" s="245">
        <v>5</v>
      </c>
      <c r="R21" s="235">
        <f>Quali!T21</f>
        <v>12</v>
      </c>
    </row>
    <row r="22" spans="1:18" ht="21.75" customHeight="1">
      <c r="A22" s="292">
        <v>10</v>
      </c>
      <c r="B22" s="133" t="str">
        <f>LOOKUP($R22,Namen!$A$6:$A$117,Namen!$B$6:$B$117)</f>
        <v>Seiler Franz</v>
      </c>
      <c r="C22" s="135" t="str">
        <f>LOOKUP($R22,Namen!$A$6:$A$117,Namen!$C$6:$C$117)</f>
        <v>TG</v>
      </c>
      <c r="D22" s="135">
        <f>LOOKUP($R22,Namen!$A$6:$A$117,Namen!$D$6:$D$117)</f>
        <v>5</v>
      </c>
      <c r="E22" s="135">
        <f>LOOKUP($R22,Namen!$A$6:$A$117,Namen!$E$6:$E$117)</f>
        <v>0</v>
      </c>
      <c r="F22" s="135">
        <f t="shared" si="0"/>
        <v>4</v>
      </c>
      <c r="G22" s="242">
        <v>203</v>
      </c>
      <c r="H22" s="242">
        <v>224</v>
      </c>
      <c r="I22" s="242">
        <v>213</v>
      </c>
      <c r="J22" s="242">
        <v>185</v>
      </c>
      <c r="K22" s="242">
        <f t="shared" si="1"/>
        <v>825</v>
      </c>
      <c r="L22" s="233">
        <f t="shared" si="2"/>
        <v>206.25</v>
      </c>
      <c r="M22" s="133">
        <f t="shared" si="3"/>
        <v>20</v>
      </c>
      <c r="N22" s="133">
        <f t="shared" si="4"/>
        <v>845</v>
      </c>
      <c r="O22" s="243"/>
      <c r="P22" s="284">
        <f>P23</f>
        <v>3288</v>
      </c>
      <c r="Q22" s="244"/>
      <c r="R22" s="235">
        <f>Quali!T30</f>
        <v>33</v>
      </c>
    </row>
    <row r="23" spans="1:18" ht="21.75" customHeight="1">
      <c r="A23" s="264"/>
      <c r="B23" s="133" t="str">
        <f>LOOKUP($R23,Namen!$A$6:$A$117,Namen!$B$6:$B$117)</f>
        <v>Kläger Andreas</v>
      </c>
      <c r="C23" s="135" t="str">
        <f>LOOKUP($R23,Namen!$A$6:$A$117,Namen!$C$6:$C$117)</f>
        <v>TG</v>
      </c>
      <c r="D23" s="135">
        <f>LOOKUP($R23,Namen!$A$6:$A$117,Namen!$D$6:$D$117)</f>
        <v>3</v>
      </c>
      <c r="E23" s="135">
        <f>LOOKUP($R23,Namen!$A$6:$A$117,Namen!$E$6:$E$117)</f>
        <v>0</v>
      </c>
      <c r="F23" s="135">
        <f t="shared" si="0"/>
        <v>4</v>
      </c>
      <c r="G23" s="242">
        <v>186</v>
      </c>
      <c r="H23" s="242">
        <v>184</v>
      </c>
      <c r="I23" s="242">
        <v>165</v>
      </c>
      <c r="J23" s="242">
        <v>256</v>
      </c>
      <c r="K23" s="242">
        <f t="shared" si="1"/>
        <v>791</v>
      </c>
      <c r="L23" s="233">
        <f t="shared" si="2"/>
        <v>197.75</v>
      </c>
      <c r="M23" s="133">
        <f t="shared" si="3"/>
        <v>12</v>
      </c>
      <c r="N23" s="133">
        <f t="shared" si="4"/>
        <v>803</v>
      </c>
      <c r="O23" s="243">
        <f>Quali!U31</f>
        <v>1640</v>
      </c>
      <c r="P23" s="282">
        <f>N22+N23+O23</f>
        <v>3288</v>
      </c>
      <c r="Q23" s="245">
        <v>2</v>
      </c>
      <c r="R23" s="235">
        <f>Quali!T31</f>
        <v>34</v>
      </c>
    </row>
    <row r="24" spans="1:18" ht="21.75" customHeight="1">
      <c r="A24" s="292">
        <v>11</v>
      </c>
      <c r="B24" s="133" t="str">
        <f>LOOKUP($R24,Namen!$A$6:$A$117,Namen!$B$6:$B$117)</f>
        <v>Bernd Biallas</v>
      </c>
      <c r="C24" s="135" t="str">
        <f>LOOKUP($R24,Namen!$A$6:$A$117,Namen!$C$6:$C$117)</f>
        <v>GE</v>
      </c>
      <c r="D24" s="135">
        <f>LOOKUP($R24,Namen!$A$6:$A$117,Namen!$D$6:$D$117)</f>
        <v>12</v>
      </c>
      <c r="E24" s="135">
        <f>LOOKUP($R24,Namen!$A$6:$A$117,Namen!$E$6:$E$117)</f>
        <v>0</v>
      </c>
      <c r="F24" s="135">
        <f t="shared" si="0"/>
        <v>4</v>
      </c>
      <c r="G24" s="242">
        <v>203</v>
      </c>
      <c r="H24" s="242">
        <v>201</v>
      </c>
      <c r="I24" s="242">
        <v>158</v>
      </c>
      <c r="J24" s="242">
        <v>194</v>
      </c>
      <c r="K24" s="242">
        <f t="shared" si="1"/>
        <v>756</v>
      </c>
      <c r="L24" s="233">
        <f t="shared" si="2"/>
        <v>189</v>
      </c>
      <c r="M24" s="133">
        <f t="shared" si="3"/>
        <v>48</v>
      </c>
      <c r="N24" s="133">
        <f t="shared" si="4"/>
        <v>804</v>
      </c>
      <c r="O24" s="243"/>
      <c r="P24" s="284">
        <f>P25</f>
        <v>3281</v>
      </c>
      <c r="Q24" s="244"/>
      <c r="R24" s="235">
        <f>Quali!T18</f>
        <v>83</v>
      </c>
    </row>
    <row r="25" spans="1:18" ht="21.75" customHeight="1">
      <c r="A25" s="264"/>
      <c r="B25" s="133" t="str">
        <f>LOOKUP($R25,Namen!$A$6:$A$117,Namen!$B$6:$B$117)</f>
        <v>Schwab Martin</v>
      </c>
      <c r="C25" s="135" t="str">
        <f>LOOKUP($R25,Namen!$A$6:$A$117,Namen!$C$6:$C$117)</f>
        <v>BE</v>
      </c>
      <c r="D25" s="135">
        <f>LOOKUP($R25,Namen!$A$6:$A$117,Namen!$D$6:$D$117)</f>
        <v>14</v>
      </c>
      <c r="E25" s="135">
        <f>LOOKUP($R25,Namen!$A$6:$A$117,Namen!$E$6:$E$117)</f>
        <v>0</v>
      </c>
      <c r="F25" s="135">
        <f t="shared" si="0"/>
        <v>4</v>
      </c>
      <c r="G25" s="242">
        <v>168</v>
      </c>
      <c r="H25" s="242">
        <v>178</v>
      </c>
      <c r="I25" s="242">
        <v>201</v>
      </c>
      <c r="J25" s="242">
        <v>188</v>
      </c>
      <c r="K25" s="242">
        <f t="shared" si="1"/>
        <v>735</v>
      </c>
      <c r="L25" s="233">
        <f t="shared" si="2"/>
        <v>183.75</v>
      </c>
      <c r="M25" s="133">
        <f t="shared" si="3"/>
        <v>56</v>
      </c>
      <c r="N25" s="133">
        <f t="shared" si="4"/>
        <v>791</v>
      </c>
      <c r="O25" s="133">
        <f>Quali!U19</f>
        <v>1686</v>
      </c>
      <c r="P25" s="282">
        <f>N24+N25+O25</f>
        <v>3281</v>
      </c>
      <c r="Q25" s="245">
        <v>1</v>
      </c>
      <c r="R25" s="235">
        <f>Quali!T19</f>
        <v>84</v>
      </c>
    </row>
    <row r="26" spans="1:18" ht="21.75" customHeight="1">
      <c r="A26" s="292">
        <v>12</v>
      </c>
      <c r="B26" s="133" t="str">
        <f>LOOKUP($R26,Namen!$A$6:$A$117,Namen!$B$6:$B$117)</f>
        <v>Dvorak Marco</v>
      </c>
      <c r="C26" s="135" t="str">
        <f>LOOKUP($R26,Namen!$A$6:$A$117,Namen!$C$6:$C$117)</f>
        <v>TG</v>
      </c>
      <c r="D26" s="135">
        <f>LOOKUP($R26,Namen!$A$6:$A$117,Namen!$D$6:$D$117)</f>
        <v>11</v>
      </c>
      <c r="E26" s="135">
        <f>LOOKUP($R26,Namen!$A$6:$A$117,Namen!$E$6:$E$117)</f>
        <v>0</v>
      </c>
      <c r="F26" s="135">
        <f t="shared" si="0"/>
        <v>4</v>
      </c>
      <c r="G26" s="242">
        <v>173</v>
      </c>
      <c r="H26" s="242">
        <v>194</v>
      </c>
      <c r="I26" s="242">
        <v>153</v>
      </c>
      <c r="J26" s="242">
        <v>181</v>
      </c>
      <c r="K26" s="242">
        <f t="shared" si="1"/>
        <v>701</v>
      </c>
      <c r="L26" s="233">
        <f t="shared" si="2"/>
        <v>175.25</v>
      </c>
      <c r="M26" s="133">
        <f t="shared" si="3"/>
        <v>44</v>
      </c>
      <c r="N26" s="133">
        <f t="shared" si="4"/>
        <v>745</v>
      </c>
      <c r="O26" s="243"/>
      <c r="P26" s="284">
        <f>P27</f>
        <v>3280</v>
      </c>
      <c r="Q26" s="244"/>
      <c r="R26" s="235">
        <f>Quali!T10</f>
        <v>21</v>
      </c>
    </row>
    <row r="27" spans="1:18" ht="21.75" customHeight="1">
      <c r="A27" s="264"/>
      <c r="B27" s="133" t="str">
        <f>LOOKUP($R27,Namen!$A$6:$A$117,Namen!$B$6:$B$117)</f>
        <v>Hutter Marcel</v>
      </c>
      <c r="C27" s="135" t="str">
        <f>LOOKUP($R27,Namen!$A$6:$A$117,Namen!$C$6:$C$117)</f>
        <v>TG</v>
      </c>
      <c r="D27" s="135">
        <f>LOOKUP($R27,Namen!$A$6:$A$117,Namen!$D$6:$D$117)</f>
        <v>1</v>
      </c>
      <c r="E27" s="135">
        <f>LOOKUP($R27,Namen!$A$6:$A$117,Namen!$E$6:$E$117)</f>
        <v>0</v>
      </c>
      <c r="F27" s="135">
        <f t="shared" si="0"/>
        <v>4</v>
      </c>
      <c r="G27" s="242">
        <v>236</v>
      </c>
      <c r="H27" s="242">
        <v>184</v>
      </c>
      <c r="I27" s="242">
        <v>223</v>
      </c>
      <c r="J27" s="242">
        <v>144</v>
      </c>
      <c r="K27" s="242">
        <f t="shared" si="1"/>
        <v>787</v>
      </c>
      <c r="L27" s="233">
        <f t="shared" si="2"/>
        <v>196.75</v>
      </c>
      <c r="M27" s="133">
        <f t="shared" si="3"/>
        <v>4</v>
      </c>
      <c r="N27" s="133">
        <f t="shared" si="4"/>
        <v>791</v>
      </c>
      <c r="O27" s="243">
        <f>Quali!U11</f>
        <v>1744</v>
      </c>
      <c r="P27" s="281">
        <f>N26+N27+O27</f>
        <v>3280</v>
      </c>
      <c r="Q27" s="245">
        <v>3</v>
      </c>
      <c r="R27" s="235">
        <f>Quali!T11</f>
        <v>22</v>
      </c>
    </row>
    <row r="28" spans="1:18" ht="21.75" customHeight="1">
      <c r="A28" s="292">
        <v>13</v>
      </c>
      <c r="B28" s="133" t="str">
        <f>LOOKUP($R28,Namen!$A$6:$A$117,Namen!$B$6:$B$117)</f>
        <v>Miracula Giuseppe</v>
      </c>
      <c r="C28" s="135" t="str">
        <f>LOOKUP($R28,Namen!$A$6:$A$117,Namen!$C$6:$C$117)</f>
        <v>SZ</v>
      </c>
      <c r="D28" s="135">
        <f>LOOKUP($R28,Namen!$A$6:$A$117,Namen!$D$6:$D$117)</f>
        <v>7</v>
      </c>
      <c r="E28" s="135">
        <f>LOOKUP($R28,Namen!$A$6:$A$117,Namen!$E$6:$E$117)</f>
        <v>0</v>
      </c>
      <c r="F28" s="135">
        <f t="shared" si="0"/>
        <v>4</v>
      </c>
      <c r="G28" s="242">
        <v>199</v>
      </c>
      <c r="H28" s="242">
        <v>206</v>
      </c>
      <c r="I28" s="242">
        <v>187</v>
      </c>
      <c r="J28" s="242">
        <v>154</v>
      </c>
      <c r="K28" s="242">
        <f t="shared" si="1"/>
        <v>746</v>
      </c>
      <c r="L28" s="233">
        <f t="shared" si="2"/>
        <v>186.5</v>
      </c>
      <c r="M28" s="133">
        <f t="shared" si="3"/>
        <v>28</v>
      </c>
      <c r="N28" s="133">
        <f t="shared" si="4"/>
        <v>774</v>
      </c>
      <c r="O28" s="243"/>
      <c r="P28" s="284">
        <f>P29</f>
        <v>3238</v>
      </c>
      <c r="Q28" s="244"/>
      <c r="R28" s="235">
        <f>Quali!T14</f>
        <v>19</v>
      </c>
    </row>
    <row r="29" spans="1:18" ht="21.75" customHeight="1">
      <c r="A29" s="264"/>
      <c r="B29" s="133" t="str">
        <f>LOOKUP($R29,Namen!$A$6:$A$117,Namen!$B$6:$B$117)</f>
        <v>Riccardi Fillipo</v>
      </c>
      <c r="C29" s="135" t="str">
        <f>LOOKUP($R29,Namen!$A$6:$A$117,Namen!$C$6:$C$117)</f>
        <v>SZ</v>
      </c>
      <c r="D29" s="135">
        <f>LOOKUP($R29,Namen!$A$6:$A$117,Namen!$D$6:$D$117)</f>
        <v>14</v>
      </c>
      <c r="E29" s="135">
        <f>LOOKUP($R29,Namen!$A$6:$A$117,Namen!$E$6:$E$117)</f>
        <v>0</v>
      </c>
      <c r="F29" s="135">
        <f t="shared" si="0"/>
        <v>4</v>
      </c>
      <c r="G29" s="242">
        <v>158</v>
      </c>
      <c r="H29" s="242">
        <v>208</v>
      </c>
      <c r="I29" s="242">
        <v>182</v>
      </c>
      <c r="J29" s="242">
        <v>167</v>
      </c>
      <c r="K29" s="242">
        <f t="shared" si="1"/>
        <v>715</v>
      </c>
      <c r="L29" s="233">
        <f t="shared" si="2"/>
        <v>178.75</v>
      </c>
      <c r="M29" s="133">
        <f t="shared" si="3"/>
        <v>56</v>
      </c>
      <c r="N29" s="133">
        <f t="shared" si="4"/>
        <v>771</v>
      </c>
      <c r="O29" s="243">
        <f>Quali!U15</f>
        <v>1693</v>
      </c>
      <c r="P29" s="281">
        <f>N28+N29+O29</f>
        <v>3238</v>
      </c>
      <c r="Q29" s="245">
        <v>2</v>
      </c>
      <c r="R29" s="235">
        <f>Quali!T15</f>
        <v>20</v>
      </c>
    </row>
    <row r="30" spans="1:18" ht="21.75" customHeight="1">
      <c r="A30" s="292">
        <v>14</v>
      </c>
      <c r="B30" s="133" t="str">
        <f>LOOKUP($R30,Namen!$A$6:$A$117,Namen!$B$6:$B$117)</f>
        <v>Slagmolen Jarno</v>
      </c>
      <c r="C30" s="135" t="str">
        <f>LOOKUP($R30,Namen!$A$6:$A$117,Namen!$C$6:$C$117)</f>
        <v>ZH</v>
      </c>
      <c r="D30" s="135">
        <f>LOOKUP($R30,Namen!$A$6:$A$117,Namen!$D$6:$D$117)</f>
        <v>4</v>
      </c>
      <c r="E30" s="135">
        <f>LOOKUP($R30,Namen!$A$6:$A$117,Namen!$E$6:$E$117)</f>
        <v>0</v>
      </c>
      <c r="F30" s="135">
        <f t="shared" si="0"/>
        <v>4</v>
      </c>
      <c r="G30" s="242">
        <v>188</v>
      </c>
      <c r="H30" s="242">
        <v>173</v>
      </c>
      <c r="I30" s="242">
        <v>154</v>
      </c>
      <c r="J30" s="242">
        <v>179</v>
      </c>
      <c r="K30" s="242">
        <f t="shared" si="1"/>
        <v>694</v>
      </c>
      <c r="L30" s="233">
        <f t="shared" si="2"/>
        <v>173.5</v>
      </c>
      <c r="M30" s="133">
        <f t="shared" si="3"/>
        <v>16</v>
      </c>
      <c r="N30" s="133">
        <f t="shared" si="4"/>
        <v>710</v>
      </c>
      <c r="O30" s="243"/>
      <c r="P30" s="284">
        <f>P31</f>
        <v>3165</v>
      </c>
      <c r="Q30" s="244"/>
      <c r="R30" s="235">
        <f>Quali!T32</f>
        <v>49</v>
      </c>
    </row>
    <row r="31" spans="1:18" ht="21.75" customHeight="1">
      <c r="A31" s="264"/>
      <c r="B31" s="133" t="str">
        <f>LOOKUP($R31,Namen!$A$6:$A$117,Namen!$B$6:$B$117)</f>
        <v>Hermann Markus</v>
      </c>
      <c r="C31" s="135" t="str">
        <f>LOOKUP($R31,Namen!$A$6:$A$117,Namen!$C$6:$C$117)</f>
        <v>ZH</v>
      </c>
      <c r="D31" s="135">
        <f>LOOKUP($R31,Namen!$A$6:$A$117,Namen!$D$6:$D$117)</f>
        <v>3</v>
      </c>
      <c r="E31" s="135">
        <f>LOOKUP($R31,Namen!$A$6:$A$117,Namen!$E$6:$E$117)</f>
        <v>0</v>
      </c>
      <c r="F31" s="135">
        <f t="shared" si="0"/>
        <v>4</v>
      </c>
      <c r="G31" s="242">
        <v>168</v>
      </c>
      <c r="H31" s="242">
        <v>235</v>
      </c>
      <c r="I31" s="242">
        <v>156</v>
      </c>
      <c r="J31" s="242">
        <v>246</v>
      </c>
      <c r="K31" s="242">
        <f t="shared" si="1"/>
        <v>805</v>
      </c>
      <c r="L31" s="233">
        <f t="shared" si="2"/>
        <v>201.25</v>
      </c>
      <c r="M31" s="133">
        <f t="shared" si="3"/>
        <v>12</v>
      </c>
      <c r="N31" s="133">
        <f t="shared" si="4"/>
        <v>817</v>
      </c>
      <c r="O31" s="243">
        <f>Quali!U33</f>
        <v>1638</v>
      </c>
      <c r="P31" s="281">
        <f>N30+N31+O31</f>
        <v>3165</v>
      </c>
      <c r="Q31" s="245">
        <v>8</v>
      </c>
      <c r="R31" s="235">
        <f>Quali!T33</f>
        <v>50</v>
      </c>
    </row>
    <row r="32" spans="1:18" ht="21.75" customHeight="1">
      <c r="A32" s="292">
        <v>15</v>
      </c>
      <c r="B32" s="133" t="str">
        <f>LOOKUP($R32,Namen!$A$6:$A$117,Namen!$B$6:$B$117)</f>
        <v>Stuker Roland</v>
      </c>
      <c r="C32" s="135" t="str">
        <f>LOOKUP($R32,Namen!$A$6:$A$117,Namen!$C$6:$C$117)</f>
        <v>BE</v>
      </c>
      <c r="D32" s="135">
        <f>LOOKUP($R32,Namen!$A$6:$A$117,Namen!$D$6:$D$117)</f>
        <v>5</v>
      </c>
      <c r="E32" s="135">
        <f>LOOKUP($R32,Namen!$A$6:$A$117,Namen!$E$6:$E$117)</f>
        <v>0</v>
      </c>
      <c r="F32" s="135">
        <f t="shared" si="0"/>
        <v>4</v>
      </c>
      <c r="G32" s="242">
        <v>170</v>
      </c>
      <c r="H32" s="242">
        <v>189</v>
      </c>
      <c r="I32" s="242">
        <v>233</v>
      </c>
      <c r="J32" s="242">
        <v>170</v>
      </c>
      <c r="K32" s="242">
        <f t="shared" si="1"/>
        <v>762</v>
      </c>
      <c r="L32" s="233">
        <f t="shared" si="2"/>
        <v>190.5</v>
      </c>
      <c r="M32" s="133">
        <f t="shared" si="3"/>
        <v>20</v>
      </c>
      <c r="N32" s="133">
        <f t="shared" si="4"/>
        <v>782</v>
      </c>
      <c r="O32" s="243"/>
      <c r="P32" s="284">
        <f>P33</f>
        <v>3152</v>
      </c>
      <c r="Q32" s="244"/>
      <c r="R32" s="235">
        <f>Quali!T26</f>
        <v>43</v>
      </c>
    </row>
    <row r="33" spans="1:18" ht="21.75" customHeight="1">
      <c r="A33" s="264"/>
      <c r="B33" s="133" t="str">
        <f>LOOKUP($R33,Namen!$A$6:$A$117,Namen!$B$6:$B$117)</f>
        <v>Bösiger Andreas</v>
      </c>
      <c r="C33" s="135" t="str">
        <f>LOOKUP($R33,Namen!$A$6:$A$117,Namen!$C$6:$C$117)</f>
        <v>BE</v>
      </c>
      <c r="D33" s="135">
        <f>LOOKUP($R33,Namen!$A$6:$A$117,Namen!$D$6:$D$117)</f>
        <v>2</v>
      </c>
      <c r="E33" s="135">
        <f>LOOKUP($R33,Namen!$A$6:$A$117,Namen!$E$6:$E$117)</f>
        <v>0</v>
      </c>
      <c r="F33" s="135">
        <f t="shared" si="0"/>
        <v>4</v>
      </c>
      <c r="G33" s="242">
        <v>173</v>
      </c>
      <c r="H33" s="242">
        <v>148</v>
      </c>
      <c r="I33" s="242">
        <v>186</v>
      </c>
      <c r="J33" s="242">
        <v>191</v>
      </c>
      <c r="K33" s="242">
        <f t="shared" si="1"/>
        <v>698</v>
      </c>
      <c r="L33" s="233">
        <f t="shared" si="2"/>
        <v>174.5</v>
      </c>
      <c r="M33" s="133">
        <f t="shared" si="3"/>
        <v>8</v>
      </c>
      <c r="N33" s="133">
        <f t="shared" si="4"/>
        <v>706</v>
      </c>
      <c r="O33" s="243">
        <f>Quali!U27</f>
        <v>1664</v>
      </c>
      <c r="P33" s="281">
        <f>N32+N33+O33</f>
        <v>3152</v>
      </c>
      <c r="Q33" s="245">
        <v>3</v>
      </c>
      <c r="R33" s="235">
        <f>Quali!T27</f>
        <v>44</v>
      </c>
    </row>
    <row r="34" spans="1:18" ht="21.75" customHeight="1">
      <c r="A34" s="292">
        <v>16</v>
      </c>
      <c r="B34" s="133" t="str">
        <f>LOOKUP($R34,Namen!$A$6:$A$117,Namen!$B$6:$B$117)</f>
        <v>Ineichen Rinaldo</v>
      </c>
      <c r="C34" s="135" t="str">
        <f>LOOKUP($R34,Namen!$A$6:$A$117,Namen!$C$6:$C$117)</f>
        <v>ZH</v>
      </c>
      <c r="D34" s="135">
        <f>LOOKUP($R34,Namen!$A$6:$A$117,Namen!$D$6:$D$117)</f>
        <v>6</v>
      </c>
      <c r="E34" s="135">
        <f>LOOKUP($R34,Namen!$A$6:$A$117,Namen!$E$6:$E$117)</f>
        <v>0</v>
      </c>
      <c r="F34" s="135">
        <f t="shared" si="0"/>
        <v>4</v>
      </c>
      <c r="G34" s="242">
        <v>187</v>
      </c>
      <c r="H34" s="242">
        <v>193</v>
      </c>
      <c r="I34" s="242">
        <v>191</v>
      </c>
      <c r="J34" s="242">
        <v>202</v>
      </c>
      <c r="K34" s="242">
        <f t="shared" si="1"/>
        <v>773</v>
      </c>
      <c r="L34" s="233">
        <f t="shared" si="2"/>
        <v>193.25</v>
      </c>
      <c r="M34" s="133">
        <f t="shared" si="3"/>
        <v>24</v>
      </c>
      <c r="N34" s="133">
        <f t="shared" si="4"/>
        <v>797</v>
      </c>
      <c r="O34" s="243"/>
      <c r="P34" s="284">
        <f>P35</f>
        <v>3105</v>
      </c>
      <c r="Q34" s="244"/>
      <c r="R34" s="235">
        <f>Quali!T22</f>
        <v>15</v>
      </c>
    </row>
    <row r="35" spans="1:18" ht="21.75" customHeight="1" thickBot="1">
      <c r="A35" s="264"/>
      <c r="B35" s="133" t="str">
        <f>LOOKUP($R35,Namen!$A$6:$A$117,Namen!$B$6:$B$117)</f>
        <v>Simsek Thomson</v>
      </c>
      <c r="C35" s="135" t="str">
        <f>LOOKUP($R35,Namen!$A$6:$A$117,Namen!$C$6:$C$117)</f>
        <v>ZH</v>
      </c>
      <c r="D35" s="135">
        <f>LOOKUP($R35,Namen!$A$6:$A$117,Namen!$D$6:$D$117)</f>
        <v>8</v>
      </c>
      <c r="E35" s="135">
        <f>LOOKUP($R35,Namen!$A$6:$A$117,Namen!$E$6:$E$117)</f>
        <v>0</v>
      </c>
      <c r="F35" s="135">
        <f t="shared" si="0"/>
        <v>3</v>
      </c>
      <c r="G35" s="242"/>
      <c r="H35" s="242">
        <v>213</v>
      </c>
      <c r="I35" s="242">
        <v>188</v>
      </c>
      <c r="J35" s="242">
        <v>206</v>
      </c>
      <c r="K35" s="242">
        <f t="shared" si="1"/>
        <v>607</v>
      </c>
      <c r="L35" s="233">
        <f t="shared" si="2"/>
        <v>202.33333333333334</v>
      </c>
      <c r="M35" s="133">
        <f t="shared" si="3"/>
        <v>24</v>
      </c>
      <c r="N35" s="133">
        <f t="shared" si="4"/>
        <v>631</v>
      </c>
      <c r="O35" s="243">
        <f>Quali!U23</f>
        <v>1677</v>
      </c>
      <c r="P35" s="282">
        <f>N34+N35+O35</f>
        <v>3105</v>
      </c>
      <c r="Q35" s="270">
        <v>4</v>
      </c>
      <c r="R35" s="235">
        <f>Quali!T23</f>
        <v>16</v>
      </c>
    </row>
    <row r="36" spans="1:16" ht="13.5" thickTop="1">
      <c r="A36" s="14"/>
      <c r="O36" s="7"/>
      <c r="P36" s="8"/>
    </row>
    <row r="37" spans="1:16" ht="12.75">
      <c r="A37" s="14"/>
      <c r="O37" s="7"/>
      <c r="P37" s="9"/>
    </row>
    <row r="38" spans="1:16" ht="12.75">
      <c r="A38" s="14"/>
      <c r="O38" s="7"/>
      <c r="P38" s="8"/>
    </row>
    <row r="39" spans="1:16" ht="12.75">
      <c r="A39" s="14"/>
      <c r="O39" s="7"/>
      <c r="P39" s="9"/>
    </row>
    <row r="40" spans="1:16" ht="12.75">
      <c r="A40" s="14"/>
      <c r="O40" s="7"/>
      <c r="P40" s="8"/>
    </row>
    <row r="41" spans="1:16" ht="12.75">
      <c r="A41" s="14"/>
      <c r="O41" s="7"/>
      <c r="P41" s="9"/>
    </row>
    <row r="42" spans="1:16" ht="12.75">
      <c r="A42" s="14"/>
      <c r="O42" s="7"/>
      <c r="P42" s="8"/>
    </row>
    <row r="43" spans="1:16" ht="12.75">
      <c r="A43" s="14"/>
      <c r="O43" s="7"/>
      <c r="P43" s="9"/>
    </row>
    <row r="44" spans="1:16" ht="12.75">
      <c r="A44" s="14"/>
      <c r="O44" s="7"/>
      <c r="P44" s="8"/>
    </row>
    <row r="45" spans="1:16" ht="12.75">
      <c r="A45" s="14"/>
      <c r="O45" s="7"/>
      <c r="P45" s="9"/>
    </row>
    <row r="46" spans="1:16" ht="12.75">
      <c r="A46" s="14"/>
      <c r="O46" s="7"/>
      <c r="P46" s="8"/>
    </row>
    <row r="47" spans="1:16" ht="12.75">
      <c r="A47" s="14"/>
      <c r="O47" s="7"/>
      <c r="P47" s="9"/>
    </row>
    <row r="48" spans="1:16" ht="12.75">
      <c r="A48" s="14"/>
      <c r="O48" s="7"/>
      <c r="P48" s="8"/>
    </row>
    <row r="49" spans="1:16" ht="12.75">
      <c r="A49" s="14"/>
      <c r="O49" s="7"/>
      <c r="P49" s="9"/>
    </row>
    <row r="50" spans="1:16" ht="12.75">
      <c r="A50" s="14"/>
      <c r="O50" s="7"/>
      <c r="P50" s="8"/>
    </row>
    <row r="51" spans="1:16" ht="12.75">
      <c r="A51" s="14"/>
      <c r="O51" s="7"/>
      <c r="P51" s="9"/>
    </row>
    <row r="52" spans="1:16" ht="12.75">
      <c r="A52" s="14"/>
      <c r="O52" s="7"/>
      <c r="P52" s="8"/>
    </row>
    <row r="53" spans="1:16" ht="12.75">
      <c r="A53" s="14"/>
      <c r="O53" s="7"/>
      <c r="P53" s="9"/>
    </row>
    <row r="54" spans="1:16" ht="12.75">
      <c r="A54" s="14"/>
      <c r="O54" s="7"/>
      <c r="P54" s="8"/>
    </row>
    <row r="55" spans="1:16" ht="12.75">
      <c r="A55" s="14"/>
      <c r="O55" s="7"/>
      <c r="P55" s="9"/>
    </row>
    <row r="56" spans="1:16" ht="12.75">
      <c r="A56" s="14"/>
      <c r="O56" s="7"/>
      <c r="P56" s="8"/>
    </row>
    <row r="57" spans="15:16" ht="12.75">
      <c r="O57" s="7"/>
      <c r="P57" s="9"/>
    </row>
    <row r="58" spans="15:16" ht="12.75">
      <c r="O58" s="7"/>
      <c r="P58" s="8"/>
    </row>
    <row r="59" spans="15:16" ht="12.75">
      <c r="O59" s="7"/>
      <c r="P59" s="9"/>
    </row>
    <row r="60" spans="15:16" ht="12.75">
      <c r="O60" s="7"/>
      <c r="P60" s="8"/>
    </row>
    <row r="61" spans="15:16" ht="12.75">
      <c r="O61" s="7"/>
      <c r="P61" s="9"/>
    </row>
    <row r="62" spans="15:16" ht="12.75">
      <c r="O62" s="7"/>
      <c r="P62" s="8"/>
    </row>
    <row r="63" spans="15:16" ht="12.75">
      <c r="O63" s="7"/>
      <c r="P63" s="9"/>
    </row>
    <row r="64" spans="15:16" ht="12.75">
      <c r="O64" s="7"/>
      <c r="P64" s="8"/>
    </row>
    <row r="65" spans="15:16" ht="12.75">
      <c r="O65" s="7"/>
      <c r="P65" s="9"/>
    </row>
    <row r="66" spans="15:16" ht="12.75">
      <c r="O66" s="7"/>
      <c r="P66" s="8"/>
    </row>
    <row r="67" spans="15:16" ht="12.75">
      <c r="O67" s="7"/>
      <c r="P67" s="9"/>
    </row>
    <row r="68" spans="15:16" ht="12.75">
      <c r="O68" s="7"/>
      <c r="P68" s="8"/>
    </row>
    <row r="69" spans="15:16" ht="12.75">
      <c r="O69" s="7"/>
      <c r="P69" s="9"/>
    </row>
    <row r="70" spans="15:16" ht="12.75">
      <c r="O70" s="7"/>
      <c r="P70" s="8"/>
    </row>
    <row r="71" spans="15:16" ht="12.75">
      <c r="O71" s="7"/>
      <c r="P71" s="9"/>
    </row>
    <row r="72" spans="15:16" ht="12.75">
      <c r="O72" s="7"/>
      <c r="P72" s="8"/>
    </row>
    <row r="73" spans="15:16" ht="12.75">
      <c r="O73" s="7"/>
      <c r="P73" s="9"/>
    </row>
    <row r="74" spans="15:16" ht="12.75">
      <c r="O74" s="7"/>
      <c r="P74" s="8"/>
    </row>
    <row r="75" spans="15:16" ht="12.75">
      <c r="O75" s="7"/>
      <c r="P75" s="9"/>
    </row>
    <row r="76" spans="15:16" ht="12.75">
      <c r="O76" s="7"/>
      <c r="P76" s="8"/>
    </row>
    <row r="77" spans="15:16" ht="12.75">
      <c r="O77" s="7"/>
      <c r="P77" s="9"/>
    </row>
    <row r="78" spans="15:16" ht="12.75">
      <c r="O78" s="7"/>
      <c r="P78" s="8"/>
    </row>
    <row r="79" spans="15:16" ht="12.75">
      <c r="O79" s="7"/>
      <c r="P79" s="9"/>
    </row>
    <row r="80" spans="15:16" ht="12.75">
      <c r="O80" s="7"/>
      <c r="P80" s="8"/>
    </row>
    <row r="81" spans="15:16" ht="12.75">
      <c r="O81" s="7"/>
      <c r="P81" s="9"/>
    </row>
    <row r="82" spans="15:16" ht="12.75">
      <c r="O82" s="7"/>
      <c r="P82" s="8"/>
    </row>
    <row r="83" spans="15:16" ht="12.75">
      <c r="O83" s="7"/>
      <c r="P83" s="9"/>
    </row>
    <row r="84" spans="15:16" ht="12.75">
      <c r="O84" s="7"/>
      <c r="P84" s="8"/>
    </row>
    <row r="85" spans="15:16" ht="12.75">
      <c r="O85" s="7"/>
      <c r="P85" s="9"/>
    </row>
    <row r="86" spans="15:16" ht="12.75">
      <c r="O86" s="7"/>
      <c r="P86" s="8"/>
    </row>
    <row r="87" spans="15:16" ht="12.75">
      <c r="O87" s="7"/>
      <c r="P87" s="9"/>
    </row>
    <row r="88" spans="15:16" ht="12.75">
      <c r="O88" s="7"/>
      <c r="P88" s="8"/>
    </row>
    <row r="89" spans="15:16" ht="12.75">
      <c r="O89" s="7"/>
      <c r="P89" s="9"/>
    </row>
    <row r="90" spans="15:16" ht="12.75">
      <c r="O90" s="7"/>
      <c r="P90" s="8"/>
    </row>
    <row r="91" spans="15:16" ht="12.75">
      <c r="O91" s="7"/>
      <c r="P91" s="9"/>
    </row>
    <row r="92" spans="15:16" ht="12.75">
      <c r="O92" s="7"/>
      <c r="P92" s="8"/>
    </row>
    <row r="93" spans="15:16" ht="12.75">
      <c r="O93" s="7"/>
      <c r="P93" s="9"/>
    </row>
    <row r="94" spans="15:16" ht="12.75">
      <c r="O94" s="7"/>
      <c r="P94" s="8"/>
    </row>
    <row r="95" spans="15:16" ht="12.75">
      <c r="O95" s="7"/>
      <c r="P95" s="9"/>
    </row>
    <row r="96" spans="15:16" ht="12.75">
      <c r="O96" s="7"/>
      <c r="P96" s="8"/>
    </row>
    <row r="97" spans="15:16" ht="12.75">
      <c r="O97" s="7"/>
      <c r="P97" s="9"/>
    </row>
    <row r="98" spans="15:16" ht="12.75">
      <c r="O98" s="7"/>
      <c r="P98" s="8"/>
    </row>
    <row r="99" spans="15:16" ht="12.75">
      <c r="O99" s="7"/>
      <c r="P99" s="9"/>
    </row>
    <row r="100" spans="15:16" ht="12.75">
      <c r="O100" s="7"/>
      <c r="P100" s="8"/>
    </row>
    <row r="101" spans="15:16" ht="12.75">
      <c r="O101" s="7"/>
      <c r="P101" s="9"/>
    </row>
    <row r="102" spans="15:16" ht="12.75">
      <c r="O102" s="7"/>
      <c r="P102" s="8"/>
    </row>
    <row r="103" spans="15:16" ht="12.75">
      <c r="O103" s="7"/>
      <c r="P103" s="9"/>
    </row>
    <row r="104" spans="15:16" ht="12.75">
      <c r="O104" s="7"/>
      <c r="P104" s="8"/>
    </row>
    <row r="105" spans="15:16" ht="12.75">
      <c r="O105" s="7"/>
      <c r="P105" s="9"/>
    </row>
    <row r="106" spans="15:16" ht="12.75">
      <c r="O106" s="7"/>
      <c r="P106" s="8"/>
    </row>
    <row r="107" spans="15:16" ht="12.75">
      <c r="O107" s="7"/>
      <c r="P107" s="9"/>
    </row>
    <row r="108" ht="12.75">
      <c r="P108" s="10"/>
    </row>
  </sheetData>
  <conditionalFormatting sqref="G4:J35">
    <cfRule type="cellIs" priority="1" dxfId="1" operator="greaterThanOrEqual" stopIfTrue="1">
      <formula>200</formula>
    </cfRule>
  </conditionalFormatting>
  <conditionalFormatting sqref="K4:K35">
    <cfRule type="cellIs" priority="2" dxfId="1" operator="greaterThanOrEqual" stopIfTrue="1">
      <formula>800</formula>
    </cfRule>
  </conditionalFormatting>
  <printOptions/>
  <pageMargins left="0.47" right="0.48" top="0.48" bottom="1" header="0.511811023" footer="0.511811023"/>
  <pageSetup fitToHeight="1" fitToWidth="1" horizontalDpi="300" verticalDpi="300" orientation="portrait" paperSize="9" scale="64" r:id="rId1"/>
  <headerFooter alignWithMargins="0">
    <oddFooter>&amp;CSeite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C38"/>
  <sheetViews>
    <sheetView showZeros="0" zoomScale="75" zoomScaleNormal="75" workbookViewId="0" topLeftCell="A1">
      <selection activeCell="H17" sqref="H17"/>
    </sheetView>
  </sheetViews>
  <sheetFormatPr defaultColWidth="11.421875" defaultRowHeight="12.75"/>
  <cols>
    <col min="1" max="1" width="6.00390625" style="3" customWidth="1"/>
    <col min="2" max="2" width="24.7109375" style="0" bestFit="1" customWidth="1"/>
    <col min="3" max="3" width="5.00390625" style="0" customWidth="1"/>
    <col min="4" max="4" width="5.8515625" style="7" customWidth="1"/>
    <col min="5" max="5" width="5.8515625" style="0" customWidth="1"/>
    <col min="6" max="6" width="5.8515625" style="7" customWidth="1"/>
    <col min="7" max="13" width="7.28125" style="0" customWidth="1"/>
    <col min="14" max="14" width="9.00390625" style="7" customWidth="1"/>
    <col min="15" max="16" width="9.00390625" style="0" customWidth="1"/>
    <col min="17" max="23" width="10.421875" style="0" bestFit="1" customWidth="1"/>
    <col min="24" max="25" width="10.421875" style="0" customWidth="1"/>
    <col min="26" max="26" width="16.140625" style="0" bestFit="1" customWidth="1"/>
    <col min="27" max="27" width="11.421875" style="14" customWidth="1"/>
    <col min="28" max="28" width="9.00390625" style="0" customWidth="1"/>
    <col min="29" max="29" width="6.00390625" style="0" customWidth="1"/>
  </cols>
  <sheetData>
    <row r="1" spans="2:29" ht="36" customHeight="1">
      <c r="B1" s="128"/>
      <c r="C1" s="128"/>
      <c r="D1" s="128"/>
      <c r="E1" s="128"/>
      <c r="F1" s="128"/>
      <c r="G1" s="128"/>
      <c r="H1" s="128"/>
      <c r="I1" s="128"/>
      <c r="J1" s="128"/>
      <c r="K1" s="128"/>
      <c r="L1" s="128"/>
      <c r="M1" s="128"/>
      <c r="N1" s="128"/>
      <c r="O1" s="128" t="s">
        <v>171</v>
      </c>
      <c r="P1" s="128"/>
      <c r="Q1" s="128"/>
      <c r="R1" s="128"/>
      <c r="S1" s="128"/>
      <c r="T1" s="128"/>
      <c r="U1" s="128"/>
      <c r="V1" s="128"/>
      <c r="W1" s="128"/>
      <c r="X1" s="128"/>
      <c r="Y1" s="128"/>
      <c r="Z1" s="196"/>
      <c r="AA1" s="128"/>
      <c r="AB1" s="128"/>
      <c r="AC1" s="128"/>
    </row>
    <row r="2" spans="2:29" ht="39.75" customHeight="1">
      <c r="B2" s="128"/>
      <c r="C2" s="128"/>
      <c r="D2" s="128"/>
      <c r="E2" s="128"/>
      <c r="F2" s="128"/>
      <c r="G2" s="128"/>
      <c r="H2" s="128"/>
      <c r="I2" s="128"/>
      <c r="J2" s="128"/>
      <c r="K2" s="128"/>
      <c r="L2" s="128"/>
      <c r="M2" s="128"/>
      <c r="N2" s="128"/>
      <c r="O2" s="128" t="s">
        <v>51</v>
      </c>
      <c r="P2" s="128"/>
      <c r="Q2" s="128"/>
      <c r="R2" s="128"/>
      <c r="S2" s="128"/>
      <c r="T2" s="128"/>
      <c r="U2" s="128"/>
      <c r="V2" s="128"/>
      <c r="W2" s="128"/>
      <c r="X2" s="128"/>
      <c r="Y2" s="128"/>
      <c r="Z2" s="128"/>
      <c r="AA2" s="128"/>
      <c r="AB2" s="128"/>
      <c r="AC2" s="128"/>
    </row>
    <row r="3" spans="1:28" s="12" customFormat="1" ht="25.5">
      <c r="A3" s="236"/>
      <c r="B3" s="237" t="s">
        <v>1</v>
      </c>
      <c r="C3" s="237" t="s">
        <v>2</v>
      </c>
      <c r="D3" s="238" t="s">
        <v>3</v>
      </c>
      <c r="E3" s="249" t="s">
        <v>4</v>
      </c>
      <c r="F3" s="238" t="s">
        <v>53</v>
      </c>
      <c r="G3" s="237" t="s">
        <v>5</v>
      </c>
      <c r="H3" s="237" t="s">
        <v>6</v>
      </c>
      <c r="I3" s="237" t="s">
        <v>7</v>
      </c>
      <c r="J3" s="237" t="s">
        <v>8</v>
      </c>
      <c r="K3" s="237" t="s">
        <v>9</v>
      </c>
      <c r="L3" s="237" t="s">
        <v>10</v>
      </c>
      <c r="M3" s="237" t="s">
        <v>55</v>
      </c>
      <c r="N3" s="250" t="s">
        <v>74</v>
      </c>
      <c r="O3" s="237" t="s">
        <v>62</v>
      </c>
      <c r="P3" s="237" t="s">
        <v>63</v>
      </c>
      <c r="Q3" s="237" t="s">
        <v>64</v>
      </c>
      <c r="R3" s="237" t="s">
        <v>65</v>
      </c>
      <c r="S3" s="237" t="s">
        <v>66</v>
      </c>
      <c r="T3" s="237" t="s">
        <v>67</v>
      </c>
      <c r="U3" s="237" t="s">
        <v>68</v>
      </c>
      <c r="V3" s="240" t="s">
        <v>69</v>
      </c>
      <c r="W3" s="238" t="s">
        <v>13</v>
      </c>
      <c r="X3" s="238" t="s">
        <v>3</v>
      </c>
      <c r="Y3" s="250" t="s">
        <v>73</v>
      </c>
      <c r="Z3" s="237" t="s">
        <v>72</v>
      </c>
      <c r="AA3" s="251" t="s">
        <v>70</v>
      </c>
      <c r="AB3" s="246" t="s">
        <v>54</v>
      </c>
    </row>
    <row r="4" spans="1:28" ht="21.75" customHeight="1">
      <c r="A4" s="241">
        <v>1</v>
      </c>
      <c r="B4" s="133" t="str">
        <f>LOOKUP($AB4,Namen!$A$6:$A$117,Namen!$B$6:$B$117)</f>
        <v>Stucki Daryl</v>
      </c>
      <c r="C4" s="133" t="str">
        <f>LOOKUP($AB4,Namen!$A$6:$A$117,Namen!$C$6:$C$117)</f>
        <v>ZH</v>
      </c>
      <c r="D4" s="133">
        <f>LOOKUP($AB4,Namen!$A$6:$A$117,Namen!$D$6:$D$117)</f>
        <v>11</v>
      </c>
      <c r="E4" s="133" t="str">
        <f>LOOKUP($AB4,Namen!$A$6:$A$117,Namen!$E$6:$E$117)</f>
        <v>JB</v>
      </c>
      <c r="F4" s="135">
        <f aca="true" t="shared" si="0" ref="F4:F19">COUNT(G4:M4)</f>
        <v>7</v>
      </c>
      <c r="G4" s="252">
        <v>187</v>
      </c>
      <c r="H4" s="252">
        <v>173</v>
      </c>
      <c r="I4" s="252">
        <v>232</v>
      </c>
      <c r="J4" s="252">
        <v>224</v>
      </c>
      <c r="K4" s="252">
        <v>220</v>
      </c>
      <c r="L4" s="252">
        <v>223</v>
      </c>
      <c r="M4" s="252">
        <v>214</v>
      </c>
      <c r="N4" s="136">
        <f aca="true" t="shared" si="1" ref="N4:N19">SUM(G4:M4)</f>
        <v>1473</v>
      </c>
      <c r="O4" s="133">
        <v>30</v>
      </c>
      <c r="P4" s="133"/>
      <c r="Q4" s="133">
        <v>30</v>
      </c>
      <c r="R4" s="133">
        <v>30</v>
      </c>
      <c r="S4" s="133">
        <v>30</v>
      </c>
      <c r="T4" s="133">
        <v>30</v>
      </c>
      <c r="U4" s="133">
        <v>30</v>
      </c>
      <c r="V4" s="135"/>
      <c r="W4" s="244">
        <f>W5</f>
        <v>3240</v>
      </c>
      <c r="X4" s="133">
        <f aca="true" t="shared" si="2" ref="X4:X19">D4*COUNT(G4:M4)</f>
        <v>77</v>
      </c>
      <c r="Y4" s="133">
        <f aca="true" t="shared" si="3" ref="Y4:Y19">N4-X4</f>
        <v>1396</v>
      </c>
      <c r="Z4" s="233">
        <f aca="true" t="shared" si="4" ref="Z4:Z19">IF(F4&gt;0,Y4/F4,0)</f>
        <v>199.42857142857142</v>
      </c>
      <c r="AA4" s="287"/>
      <c r="AB4" s="247">
        <f>'Zwischenrunde 16'!R4</f>
        <v>41</v>
      </c>
    </row>
    <row r="5" spans="1:28" ht="21.75" customHeight="1" thickBot="1">
      <c r="A5" s="314"/>
      <c r="B5" s="149" t="str">
        <f>LOOKUP($AB5,Namen!$A$6:$A$117,Namen!$B$6:$B$117)</f>
        <v>Haasper Kevin</v>
      </c>
      <c r="C5" s="149" t="str">
        <f>LOOKUP($AB5,Namen!$A$6:$A$117,Namen!$C$6:$C$117)</f>
        <v>BE</v>
      </c>
      <c r="D5" s="149">
        <f>LOOKUP($AB5,Namen!$A$6:$A$117,Namen!$D$6:$D$117)</f>
        <v>10</v>
      </c>
      <c r="E5" s="149" t="str">
        <f>LOOKUP($AB5,Namen!$A$6:$A$117,Namen!$E$6:$E$117)</f>
        <v>JB</v>
      </c>
      <c r="F5" s="151">
        <f t="shared" si="0"/>
        <v>7</v>
      </c>
      <c r="G5" s="315">
        <v>187</v>
      </c>
      <c r="H5" s="315">
        <v>200</v>
      </c>
      <c r="I5" s="315">
        <v>225</v>
      </c>
      <c r="J5" s="315">
        <v>310</v>
      </c>
      <c r="K5" s="315">
        <v>241</v>
      </c>
      <c r="L5" s="315">
        <v>209</v>
      </c>
      <c r="M5" s="315">
        <v>180</v>
      </c>
      <c r="N5" s="152">
        <f t="shared" si="1"/>
        <v>1552</v>
      </c>
      <c r="O5" s="149"/>
      <c r="P5" s="149"/>
      <c r="Q5" s="149">
        <v>10</v>
      </c>
      <c r="R5" s="149">
        <v>10</v>
      </c>
      <c r="S5" s="149">
        <v>10</v>
      </c>
      <c r="T5" s="149">
        <v>5</v>
      </c>
      <c r="U5" s="149"/>
      <c r="V5" s="151">
        <f>SUM(O5:U5)+SUM(O4:U4)</f>
        <v>215</v>
      </c>
      <c r="W5" s="316">
        <f>V5+N4+N5</f>
        <v>3240</v>
      </c>
      <c r="X5" s="149">
        <f t="shared" si="2"/>
        <v>70</v>
      </c>
      <c r="Y5" s="149">
        <f t="shared" si="3"/>
        <v>1482</v>
      </c>
      <c r="Z5" s="317">
        <f t="shared" si="4"/>
        <v>211.71428571428572</v>
      </c>
      <c r="AA5" s="318">
        <f>IF(G5&gt;0,AVERAGE(Z4:Z5),0)</f>
        <v>205.57142857142856</v>
      </c>
      <c r="AB5" s="247">
        <f>'Zwischenrunde 16'!R5</f>
        <v>42</v>
      </c>
    </row>
    <row r="6" spans="1:28" ht="21.75" customHeight="1">
      <c r="A6" s="264">
        <v>2</v>
      </c>
      <c r="B6" s="158" t="str">
        <f>LOOKUP($AB6,Namen!$A$6:$A$117,Namen!$B$6:$B$117)</f>
        <v>Ancarani Mario</v>
      </c>
      <c r="C6" s="158" t="str">
        <f>LOOKUP($AB6,Namen!$A$6:$A$117,Namen!$C$6:$C$117)</f>
        <v>ZH</v>
      </c>
      <c r="D6" s="158">
        <f>LOOKUP($AB6,Namen!$A$6:$A$117,Namen!$D$6:$D$117)</f>
        <v>8</v>
      </c>
      <c r="E6" s="158">
        <f>LOOKUP($AB6,Namen!$A$6:$A$117,Namen!$E$6:$E$117)</f>
        <v>0</v>
      </c>
      <c r="F6" s="160">
        <f t="shared" si="0"/>
        <v>7</v>
      </c>
      <c r="G6" s="298">
        <v>211</v>
      </c>
      <c r="H6" s="298">
        <v>184</v>
      </c>
      <c r="I6" s="298">
        <v>167</v>
      </c>
      <c r="J6" s="298">
        <v>210</v>
      </c>
      <c r="K6" s="298">
        <v>209</v>
      </c>
      <c r="L6" s="298">
        <v>241</v>
      </c>
      <c r="M6" s="298">
        <v>213</v>
      </c>
      <c r="N6" s="161">
        <f t="shared" si="1"/>
        <v>1435</v>
      </c>
      <c r="O6" s="158">
        <v>30</v>
      </c>
      <c r="P6" s="158"/>
      <c r="Q6" s="158"/>
      <c r="R6" s="158">
        <v>30</v>
      </c>
      <c r="S6" s="158"/>
      <c r="T6" s="158">
        <v>30</v>
      </c>
      <c r="U6" s="158">
        <v>30</v>
      </c>
      <c r="V6" s="160"/>
      <c r="W6" s="266">
        <f>W7</f>
        <v>3123</v>
      </c>
      <c r="X6" s="158">
        <f t="shared" si="2"/>
        <v>56</v>
      </c>
      <c r="Y6" s="158">
        <f t="shared" si="3"/>
        <v>1379</v>
      </c>
      <c r="Z6" s="258">
        <f t="shared" si="4"/>
        <v>197</v>
      </c>
      <c r="AA6" s="313"/>
      <c r="AB6" s="247">
        <f>'Zwischenrunde 16'!R18</f>
        <v>37</v>
      </c>
    </row>
    <row r="7" spans="1:28" ht="21.75" customHeight="1" thickBot="1">
      <c r="A7" s="314"/>
      <c r="B7" s="149" t="str">
        <f>LOOKUP($AB7,Namen!$A$6:$A$117,Namen!$B$6:$B$117)</f>
        <v>Fiorani Lucio</v>
      </c>
      <c r="C7" s="149" t="str">
        <f>LOOKUP($AB7,Namen!$A$6:$A$117,Namen!$C$6:$C$117)</f>
        <v>ZH</v>
      </c>
      <c r="D7" s="149">
        <f>LOOKUP($AB7,Namen!$A$6:$A$117,Namen!$D$6:$D$117)</f>
        <v>0</v>
      </c>
      <c r="E7" s="149">
        <f>LOOKUP($AB7,Namen!$A$6:$A$117,Namen!$E$6:$E$117)</f>
        <v>0</v>
      </c>
      <c r="F7" s="151">
        <f t="shared" si="0"/>
        <v>7</v>
      </c>
      <c r="G7" s="315">
        <v>235</v>
      </c>
      <c r="H7" s="315">
        <v>238</v>
      </c>
      <c r="I7" s="315">
        <v>212</v>
      </c>
      <c r="J7" s="315">
        <v>224</v>
      </c>
      <c r="K7" s="315">
        <v>183</v>
      </c>
      <c r="L7" s="315">
        <v>193</v>
      </c>
      <c r="M7" s="315">
        <v>258</v>
      </c>
      <c r="N7" s="152">
        <f t="shared" si="1"/>
        <v>1543</v>
      </c>
      <c r="O7" s="149">
        <v>5</v>
      </c>
      <c r="P7" s="149">
        <v>5</v>
      </c>
      <c r="Q7" s="149"/>
      <c r="R7" s="149">
        <v>5</v>
      </c>
      <c r="S7" s="149"/>
      <c r="T7" s="149">
        <v>5</v>
      </c>
      <c r="U7" s="149">
        <v>5</v>
      </c>
      <c r="V7" s="151">
        <f>SUM(O7:U7)+SUM(O6:U6)</f>
        <v>145</v>
      </c>
      <c r="W7" s="316">
        <f>V7+N6+N7</f>
        <v>3123</v>
      </c>
      <c r="X7" s="149">
        <f t="shared" si="2"/>
        <v>0</v>
      </c>
      <c r="Y7" s="149">
        <f t="shared" si="3"/>
        <v>1543</v>
      </c>
      <c r="Z7" s="317">
        <f t="shared" si="4"/>
        <v>220.42857142857142</v>
      </c>
      <c r="AA7" s="318">
        <f>IF(G7&gt;0,AVERAGE(Z6:Z7),0)</f>
        <v>208.71428571428572</v>
      </c>
      <c r="AB7" s="247">
        <f>'Zwischenrunde 16'!R19</f>
        <v>38</v>
      </c>
    </row>
    <row r="8" spans="1:28" ht="21.75" customHeight="1">
      <c r="A8" s="264">
        <v>3</v>
      </c>
      <c r="B8" s="158" t="str">
        <f>LOOKUP($AB8,Namen!$A$6:$A$117,Namen!$B$6:$B$117)</f>
        <v>Gede Mudana</v>
      </c>
      <c r="C8" s="158" t="str">
        <f>LOOKUP($AB8,Namen!$A$6:$A$117,Namen!$C$6:$C$117)</f>
        <v>BE</v>
      </c>
      <c r="D8" s="158">
        <f>LOOKUP($AB8,Namen!$A$6:$A$117,Namen!$D$6:$D$117)</f>
        <v>13</v>
      </c>
      <c r="E8" s="158">
        <f>LOOKUP($AB8,Namen!$A$6:$A$117,Namen!$E$6:$E$117)</f>
        <v>0</v>
      </c>
      <c r="F8" s="160">
        <f t="shared" si="0"/>
        <v>7</v>
      </c>
      <c r="G8" s="298">
        <v>230</v>
      </c>
      <c r="H8" s="298">
        <v>213</v>
      </c>
      <c r="I8" s="298">
        <v>226</v>
      </c>
      <c r="J8" s="298">
        <v>238</v>
      </c>
      <c r="K8" s="298">
        <v>261</v>
      </c>
      <c r="L8" s="298">
        <v>190</v>
      </c>
      <c r="M8" s="298">
        <v>161</v>
      </c>
      <c r="N8" s="161">
        <f t="shared" si="1"/>
        <v>1519</v>
      </c>
      <c r="O8" s="158">
        <v>30</v>
      </c>
      <c r="P8" s="158">
        <v>30</v>
      </c>
      <c r="Q8" s="158"/>
      <c r="R8" s="158"/>
      <c r="S8" s="158">
        <v>30</v>
      </c>
      <c r="T8" s="158"/>
      <c r="U8" s="158"/>
      <c r="V8" s="160"/>
      <c r="W8" s="266">
        <f>W9</f>
        <v>3122</v>
      </c>
      <c r="X8" s="158">
        <f t="shared" si="2"/>
        <v>91</v>
      </c>
      <c r="Y8" s="158">
        <f t="shared" si="3"/>
        <v>1428</v>
      </c>
      <c r="Z8" s="258">
        <f t="shared" si="4"/>
        <v>204</v>
      </c>
      <c r="AA8" s="313"/>
      <c r="AB8" s="247">
        <f>'Zwischenrunde 16'!R12</f>
        <v>63</v>
      </c>
    </row>
    <row r="9" spans="1:28" ht="21.75" customHeight="1" thickBot="1">
      <c r="A9" s="314"/>
      <c r="B9" s="149" t="str">
        <f>LOOKUP($AB9,Namen!$A$6:$A$117,Namen!$B$6:$B$117)</f>
        <v>Gede Suyasa</v>
      </c>
      <c r="C9" s="149" t="str">
        <f>LOOKUP($AB9,Namen!$A$6:$A$117,Namen!$C$6:$C$117)</f>
        <v>BE</v>
      </c>
      <c r="D9" s="149">
        <f>LOOKUP($AB9,Namen!$A$6:$A$117,Namen!$D$6:$D$117)</f>
        <v>10</v>
      </c>
      <c r="E9" s="149">
        <f>LOOKUP($AB9,Namen!$A$6:$A$117,Namen!$E$6:$E$117)</f>
        <v>0</v>
      </c>
      <c r="F9" s="151">
        <f t="shared" si="0"/>
        <v>7</v>
      </c>
      <c r="G9" s="315">
        <v>223</v>
      </c>
      <c r="H9" s="315">
        <v>246</v>
      </c>
      <c r="I9" s="315">
        <v>202</v>
      </c>
      <c r="J9" s="315">
        <v>226</v>
      </c>
      <c r="K9" s="315">
        <v>187</v>
      </c>
      <c r="L9" s="315">
        <v>211</v>
      </c>
      <c r="M9" s="315">
        <v>173</v>
      </c>
      <c r="N9" s="152">
        <f t="shared" si="1"/>
        <v>1468</v>
      </c>
      <c r="O9" s="149">
        <v>10</v>
      </c>
      <c r="P9" s="149">
        <v>10</v>
      </c>
      <c r="Q9" s="149">
        <v>5</v>
      </c>
      <c r="R9" s="149">
        <v>10</v>
      </c>
      <c r="S9" s="149">
        <v>5</v>
      </c>
      <c r="T9" s="149">
        <v>5</v>
      </c>
      <c r="U9" s="149"/>
      <c r="V9" s="151">
        <f>SUM(O9:U9)+SUM(O8:U8)</f>
        <v>135</v>
      </c>
      <c r="W9" s="316">
        <f>V9+N8+N9</f>
        <v>3122</v>
      </c>
      <c r="X9" s="149">
        <f t="shared" si="2"/>
        <v>70</v>
      </c>
      <c r="Y9" s="149">
        <f t="shared" si="3"/>
        <v>1398</v>
      </c>
      <c r="Z9" s="317">
        <f t="shared" si="4"/>
        <v>199.71428571428572</v>
      </c>
      <c r="AA9" s="318">
        <f>IF(G9&gt;0,AVERAGE(Z8:Z9),0)</f>
        <v>201.85714285714286</v>
      </c>
      <c r="AB9" s="247">
        <f>'Zwischenrunde 16'!R13</f>
        <v>64</v>
      </c>
    </row>
    <row r="10" spans="1:28" ht="21.75" customHeight="1">
      <c r="A10" s="264">
        <v>4</v>
      </c>
      <c r="B10" s="158" t="str">
        <f>LOOKUP($AB10,Namen!$A$6:$A$117,Namen!$B$6:$B$117)</f>
        <v>Gnägi Kevin</v>
      </c>
      <c r="C10" s="158" t="str">
        <f>LOOKUP($AB10,Namen!$A$6:$A$117,Namen!$C$6:$C$117)</f>
        <v>BS</v>
      </c>
      <c r="D10" s="158">
        <f>LOOKUP($AB10,Namen!$A$6:$A$117,Namen!$D$6:$D$117)</f>
        <v>2</v>
      </c>
      <c r="E10" s="158">
        <f>LOOKUP($AB10,Namen!$A$6:$A$117,Namen!$E$6:$E$117)</f>
        <v>0</v>
      </c>
      <c r="F10" s="160">
        <f t="shared" si="0"/>
        <v>7</v>
      </c>
      <c r="G10" s="298">
        <v>164</v>
      </c>
      <c r="H10" s="298">
        <v>239</v>
      </c>
      <c r="I10" s="298">
        <v>270</v>
      </c>
      <c r="J10" s="298">
        <v>203</v>
      </c>
      <c r="K10" s="298">
        <v>226</v>
      </c>
      <c r="L10" s="298">
        <v>194</v>
      </c>
      <c r="M10" s="298">
        <v>189</v>
      </c>
      <c r="N10" s="161">
        <f t="shared" si="1"/>
        <v>1485</v>
      </c>
      <c r="O10" s="158"/>
      <c r="P10" s="158">
        <v>30</v>
      </c>
      <c r="Q10" s="158">
        <v>30</v>
      </c>
      <c r="R10" s="158"/>
      <c r="S10" s="158"/>
      <c r="T10" s="158">
        <v>30</v>
      </c>
      <c r="U10" s="158"/>
      <c r="V10" s="160"/>
      <c r="W10" s="266">
        <f>W11</f>
        <v>3098</v>
      </c>
      <c r="X10" s="158">
        <f t="shared" si="2"/>
        <v>14</v>
      </c>
      <c r="Y10" s="158">
        <f t="shared" si="3"/>
        <v>1471</v>
      </c>
      <c r="Z10" s="258">
        <f t="shared" si="4"/>
        <v>210.14285714285714</v>
      </c>
      <c r="AA10" s="313"/>
      <c r="AB10" s="247">
        <f>'Zwischenrunde 16'!R6</f>
        <v>75</v>
      </c>
    </row>
    <row r="11" spans="1:28" ht="21.75" customHeight="1" thickBot="1">
      <c r="A11" s="314"/>
      <c r="B11" s="149" t="str">
        <f>LOOKUP($AB11,Namen!$A$6:$A$117,Namen!$B$6:$B$117)</f>
        <v>Suter Martin</v>
      </c>
      <c r="C11" s="149" t="str">
        <f>LOOKUP($AB11,Namen!$A$6:$A$117,Namen!$C$6:$C$117)</f>
        <v>BS</v>
      </c>
      <c r="D11" s="149">
        <f>LOOKUP($AB11,Namen!$A$6:$A$117,Namen!$D$6:$D$117)</f>
        <v>1</v>
      </c>
      <c r="E11" s="149">
        <f>LOOKUP($AB11,Namen!$A$6:$A$117,Namen!$E$6:$E$117)</f>
        <v>0</v>
      </c>
      <c r="F11" s="151">
        <f t="shared" si="0"/>
        <v>7</v>
      </c>
      <c r="G11" s="315">
        <v>178</v>
      </c>
      <c r="H11" s="315">
        <v>206</v>
      </c>
      <c r="I11" s="315">
        <v>260</v>
      </c>
      <c r="J11" s="315">
        <v>170</v>
      </c>
      <c r="K11" s="315">
        <v>216</v>
      </c>
      <c r="L11" s="315">
        <v>259</v>
      </c>
      <c r="M11" s="315">
        <v>204</v>
      </c>
      <c r="N11" s="152">
        <f t="shared" si="1"/>
        <v>1493</v>
      </c>
      <c r="O11" s="149"/>
      <c r="P11" s="149">
        <v>5</v>
      </c>
      <c r="Q11" s="149">
        <v>10</v>
      </c>
      <c r="R11" s="149"/>
      <c r="S11" s="149">
        <v>5</v>
      </c>
      <c r="T11" s="149">
        <v>10</v>
      </c>
      <c r="U11" s="149"/>
      <c r="V11" s="151">
        <f>SUM(O11:U11)+SUM(O10:U10)</f>
        <v>120</v>
      </c>
      <c r="W11" s="316">
        <f>V11+N10+N11</f>
        <v>3098</v>
      </c>
      <c r="X11" s="149">
        <f t="shared" si="2"/>
        <v>7</v>
      </c>
      <c r="Y11" s="149">
        <f t="shared" si="3"/>
        <v>1486</v>
      </c>
      <c r="Z11" s="317">
        <f t="shared" si="4"/>
        <v>212.28571428571428</v>
      </c>
      <c r="AA11" s="318">
        <f>IF(G11&gt;0,AVERAGE(Z10:Z11),0)</f>
        <v>211.21428571428572</v>
      </c>
      <c r="AB11" s="247">
        <f>'Zwischenrunde 16'!R7</f>
        <v>76</v>
      </c>
    </row>
    <row r="12" spans="1:28" ht="21.75" customHeight="1">
      <c r="A12" s="264">
        <v>5</v>
      </c>
      <c r="B12" s="158" t="str">
        <f>LOOKUP($AB12,Namen!$A$6:$A$117,Namen!$B$6:$B$117)</f>
        <v>Ancarani Sandro</v>
      </c>
      <c r="C12" s="158" t="str">
        <f>LOOKUP($AB12,Namen!$A$6:$A$117,Namen!$C$6:$C$117)</f>
        <v>ZH</v>
      </c>
      <c r="D12" s="158">
        <f>LOOKUP($AB12,Namen!$A$6:$A$117,Namen!$D$6:$D$117)</f>
        <v>0</v>
      </c>
      <c r="E12" s="158">
        <f>LOOKUP($AB12,Namen!$A$6:$A$117,Namen!$E$6:$E$117)</f>
        <v>0</v>
      </c>
      <c r="F12" s="160">
        <f t="shared" si="0"/>
        <v>7</v>
      </c>
      <c r="G12" s="298">
        <v>183</v>
      </c>
      <c r="H12" s="298">
        <v>222</v>
      </c>
      <c r="I12" s="298">
        <v>213</v>
      </c>
      <c r="J12" s="298">
        <v>193</v>
      </c>
      <c r="K12" s="298">
        <v>225</v>
      </c>
      <c r="L12" s="298">
        <v>214</v>
      </c>
      <c r="M12" s="298">
        <v>207</v>
      </c>
      <c r="N12" s="161">
        <f t="shared" si="1"/>
        <v>1457</v>
      </c>
      <c r="O12" s="158"/>
      <c r="P12" s="158">
        <v>30</v>
      </c>
      <c r="Q12" s="158">
        <v>30</v>
      </c>
      <c r="R12" s="158">
        <v>30</v>
      </c>
      <c r="S12" s="158">
        <v>30</v>
      </c>
      <c r="T12" s="158"/>
      <c r="U12" s="158">
        <v>30</v>
      </c>
      <c r="V12" s="160"/>
      <c r="W12" s="266">
        <f>W13</f>
        <v>3073</v>
      </c>
      <c r="X12" s="158">
        <f t="shared" si="2"/>
        <v>0</v>
      </c>
      <c r="Y12" s="158">
        <f t="shared" si="3"/>
        <v>1457</v>
      </c>
      <c r="Z12" s="258">
        <f t="shared" si="4"/>
        <v>208.14285714285714</v>
      </c>
      <c r="AA12" s="313"/>
      <c r="AB12" s="247">
        <f>'Zwischenrunde 16'!R8</f>
        <v>39</v>
      </c>
    </row>
    <row r="13" spans="1:28" ht="21.75" customHeight="1" thickBot="1">
      <c r="A13" s="314"/>
      <c r="B13" s="149" t="str">
        <f>LOOKUP($AB13,Namen!$A$6:$A$117,Namen!$B$6:$B$117)</f>
        <v>Thurston Roger</v>
      </c>
      <c r="C13" s="149" t="str">
        <f>LOOKUP($AB13,Namen!$A$6:$A$117,Namen!$C$6:$C$117)</f>
        <v>ZH</v>
      </c>
      <c r="D13" s="149">
        <f>LOOKUP($AB13,Namen!$A$6:$A$117,Namen!$D$6:$D$117)</f>
        <v>0</v>
      </c>
      <c r="E13" s="149">
        <f>LOOKUP($AB13,Namen!$A$6:$A$117,Namen!$E$6:$E$117)</f>
        <v>0</v>
      </c>
      <c r="F13" s="151">
        <f t="shared" si="0"/>
        <v>7</v>
      </c>
      <c r="G13" s="315">
        <v>236</v>
      </c>
      <c r="H13" s="315">
        <v>211</v>
      </c>
      <c r="I13" s="315">
        <v>192</v>
      </c>
      <c r="J13" s="315">
        <v>191</v>
      </c>
      <c r="K13" s="315">
        <v>178</v>
      </c>
      <c r="L13" s="315">
        <v>193</v>
      </c>
      <c r="M13" s="315">
        <v>235</v>
      </c>
      <c r="N13" s="152">
        <f t="shared" si="1"/>
        <v>1436</v>
      </c>
      <c r="O13" s="149">
        <v>5</v>
      </c>
      <c r="P13" s="149">
        <v>5</v>
      </c>
      <c r="Q13" s="149">
        <v>5</v>
      </c>
      <c r="R13" s="149"/>
      <c r="S13" s="149">
        <v>5</v>
      </c>
      <c r="T13" s="149">
        <v>5</v>
      </c>
      <c r="U13" s="149">
        <v>5</v>
      </c>
      <c r="V13" s="151">
        <f>SUM(O13:U13)+SUM(O12:U12)</f>
        <v>180</v>
      </c>
      <c r="W13" s="316">
        <f>V13+N12+N13</f>
        <v>3073</v>
      </c>
      <c r="X13" s="149">
        <f t="shared" si="2"/>
        <v>0</v>
      </c>
      <c r="Y13" s="149">
        <f t="shared" si="3"/>
        <v>1436</v>
      </c>
      <c r="Z13" s="317">
        <f t="shared" si="4"/>
        <v>205.14285714285714</v>
      </c>
      <c r="AA13" s="318">
        <f>IF(G13&gt;0,AVERAGE(Z12:Z13),0)</f>
        <v>206.64285714285714</v>
      </c>
      <c r="AB13" s="247">
        <f>'Zwischenrunde 16'!R9</f>
        <v>40</v>
      </c>
    </row>
    <row r="14" spans="1:28" ht="21.75" customHeight="1">
      <c r="A14" s="264">
        <v>6</v>
      </c>
      <c r="B14" s="158" t="str">
        <f>LOOKUP($AB14,Namen!$A$6:$A$117,Namen!$B$6:$B$117)</f>
        <v>Bloch Stefan</v>
      </c>
      <c r="C14" s="158" t="str">
        <f>LOOKUP($AB14,Namen!$A$6:$A$117,Namen!$C$6:$C$117)</f>
        <v>BE</v>
      </c>
      <c r="D14" s="158">
        <f>LOOKUP($AB14,Namen!$A$6:$A$117,Namen!$D$6:$D$117)</f>
        <v>0</v>
      </c>
      <c r="E14" s="158">
        <f>LOOKUP($AB14,Namen!$A$6:$A$117,Namen!$E$6:$E$117)</f>
        <v>0</v>
      </c>
      <c r="F14" s="160">
        <f t="shared" si="0"/>
        <v>7</v>
      </c>
      <c r="G14" s="298">
        <v>201</v>
      </c>
      <c r="H14" s="298">
        <v>235</v>
      </c>
      <c r="I14" s="298">
        <v>237</v>
      </c>
      <c r="J14" s="298">
        <v>190</v>
      </c>
      <c r="K14" s="298">
        <v>166</v>
      </c>
      <c r="L14" s="298">
        <v>201</v>
      </c>
      <c r="M14" s="298">
        <v>190</v>
      </c>
      <c r="N14" s="161">
        <f t="shared" si="1"/>
        <v>1420</v>
      </c>
      <c r="O14" s="158">
        <v>30</v>
      </c>
      <c r="P14" s="158"/>
      <c r="Q14" s="158">
        <v>30</v>
      </c>
      <c r="R14" s="158"/>
      <c r="S14" s="158">
        <v>30</v>
      </c>
      <c r="T14" s="158"/>
      <c r="U14" s="158">
        <v>30</v>
      </c>
      <c r="V14" s="160"/>
      <c r="W14" s="266">
        <f>W15</f>
        <v>2973</v>
      </c>
      <c r="X14" s="158">
        <f t="shared" si="2"/>
        <v>0</v>
      </c>
      <c r="Y14" s="158">
        <f t="shared" si="3"/>
        <v>1420</v>
      </c>
      <c r="Z14" s="258">
        <f t="shared" si="4"/>
        <v>202.85714285714286</v>
      </c>
      <c r="AA14" s="313"/>
      <c r="AB14" s="247">
        <f>'Zwischenrunde 16'!R10</f>
        <v>57</v>
      </c>
    </row>
    <row r="15" spans="1:28" ht="21.75" customHeight="1" thickBot="1">
      <c r="A15" s="314"/>
      <c r="B15" s="149" t="str">
        <f>LOOKUP($AB15,Namen!$A$6:$A$117,Namen!$B$6:$B$117)</f>
        <v>Deiner Michael</v>
      </c>
      <c r="C15" s="149" t="str">
        <f>LOOKUP($AB15,Namen!$A$6:$A$117,Namen!$C$6:$C$117)</f>
        <v>BS</v>
      </c>
      <c r="D15" s="149">
        <f>LOOKUP($AB15,Namen!$A$6:$A$117,Namen!$D$6:$D$117)</f>
        <v>1</v>
      </c>
      <c r="E15" s="149">
        <f>LOOKUP($AB15,Namen!$A$6:$A$117,Namen!$E$6:$E$117)</f>
        <v>0</v>
      </c>
      <c r="F15" s="151">
        <f t="shared" si="0"/>
        <v>7</v>
      </c>
      <c r="G15" s="315">
        <v>231</v>
      </c>
      <c r="H15" s="315">
        <v>183</v>
      </c>
      <c r="I15" s="315">
        <v>203</v>
      </c>
      <c r="J15" s="315">
        <v>213</v>
      </c>
      <c r="K15" s="315">
        <v>217</v>
      </c>
      <c r="L15" s="315">
        <v>149</v>
      </c>
      <c r="M15" s="315">
        <v>212</v>
      </c>
      <c r="N15" s="152">
        <f t="shared" si="1"/>
        <v>1408</v>
      </c>
      <c r="O15" s="149">
        <v>5</v>
      </c>
      <c r="P15" s="149">
        <v>5</v>
      </c>
      <c r="Q15" s="149">
        <v>5</v>
      </c>
      <c r="R15" s="149">
        <v>5</v>
      </c>
      <c r="S15" s="149"/>
      <c r="T15" s="149"/>
      <c r="U15" s="149">
        <v>5</v>
      </c>
      <c r="V15" s="151">
        <f>SUM(O15:U15)+SUM(O14:U14)</f>
        <v>145</v>
      </c>
      <c r="W15" s="316">
        <f>V15+N14+N15</f>
        <v>2973</v>
      </c>
      <c r="X15" s="149">
        <f t="shared" si="2"/>
        <v>7</v>
      </c>
      <c r="Y15" s="149">
        <f t="shared" si="3"/>
        <v>1401</v>
      </c>
      <c r="Z15" s="317">
        <f t="shared" si="4"/>
        <v>200.14285714285714</v>
      </c>
      <c r="AA15" s="318">
        <f>IF(G15&gt;0,AVERAGE(Z14:Z15),0)</f>
        <v>201.5</v>
      </c>
      <c r="AB15" s="247">
        <f>'Zwischenrunde 16'!R11</f>
        <v>58</v>
      </c>
    </row>
    <row r="16" spans="1:28" ht="21.75" customHeight="1">
      <c r="A16" s="264">
        <v>7</v>
      </c>
      <c r="B16" s="158" t="str">
        <f>LOOKUP($AB16,Namen!$A$6:$A$117,Namen!$B$6:$B$117)</f>
        <v>Meyer Samuel</v>
      </c>
      <c r="C16" s="158" t="str">
        <f>LOOKUP($AB16,Namen!$A$6:$A$117,Namen!$C$6:$C$117)</f>
        <v>BE</v>
      </c>
      <c r="D16" s="158">
        <f>LOOKUP($AB16,Namen!$A$6:$A$117,Namen!$D$6:$D$117)</f>
        <v>16</v>
      </c>
      <c r="E16" s="158">
        <f>LOOKUP($AB16,Namen!$A$6:$A$117,Namen!$E$6:$E$117)</f>
        <v>0</v>
      </c>
      <c r="F16" s="160">
        <f t="shared" si="0"/>
        <v>7</v>
      </c>
      <c r="G16" s="298">
        <v>236</v>
      </c>
      <c r="H16" s="298">
        <v>160</v>
      </c>
      <c r="I16" s="298">
        <v>197</v>
      </c>
      <c r="J16" s="298">
        <v>245</v>
      </c>
      <c r="K16" s="298">
        <v>148</v>
      </c>
      <c r="L16" s="298">
        <v>220</v>
      </c>
      <c r="M16" s="298">
        <v>206</v>
      </c>
      <c r="N16" s="161">
        <f t="shared" si="1"/>
        <v>1412</v>
      </c>
      <c r="O16" s="158"/>
      <c r="P16" s="158"/>
      <c r="Q16" s="158"/>
      <c r="R16" s="158">
        <v>30</v>
      </c>
      <c r="S16" s="158"/>
      <c r="T16" s="158">
        <v>30</v>
      </c>
      <c r="U16" s="158"/>
      <c r="V16" s="160"/>
      <c r="W16" s="266">
        <f>W17</f>
        <v>2855</v>
      </c>
      <c r="X16" s="158">
        <f t="shared" si="2"/>
        <v>112</v>
      </c>
      <c r="Y16" s="158">
        <f t="shared" si="3"/>
        <v>1300</v>
      </c>
      <c r="Z16" s="258">
        <f t="shared" si="4"/>
        <v>185.71428571428572</v>
      </c>
      <c r="AA16" s="313"/>
      <c r="AB16" s="247">
        <f>'Zwischenrunde 16'!R16</f>
        <v>61</v>
      </c>
    </row>
    <row r="17" spans="1:28" ht="21.75" customHeight="1" thickBot="1">
      <c r="A17" s="314"/>
      <c r="B17" s="149" t="str">
        <f>LOOKUP($AB17,Namen!$A$6:$A$117,Namen!$B$6:$B$117)</f>
        <v>Punsalan Dany</v>
      </c>
      <c r="C17" s="149" t="str">
        <f>LOOKUP($AB17,Namen!$A$6:$A$117,Namen!$C$6:$C$117)</f>
        <v>BE</v>
      </c>
      <c r="D17" s="149">
        <f>LOOKUP($AB17,Namen!$A$6:$A$117,Namen!$D$6:$D$117)</f>
        <v>12</v>
      </c>
      <c r="E17" s="149">
        <f>LOOKUP($AB17,Namen!$A$6:$A$117,Namen!$E$6:$E$117)</f>
        <v>0</v>
      </c>
      <c r="F17" s="151">
        <f t="shared" si="0"/>
        <v>7</v>
      </c>
      <c r="G17" s="315">
        <v>188</v>
      </c>
      <c r="H17" s="315">
        <v>201</v>
      </c>
      <c r="I17" s="315">
        <v>182</v>
      </c>
      <c r="J17" s="315">
        <v>219</v>
      </c>
      <c r="K17" s="315">
        <v>172</v>
      </c>
      <c r="L17" s="315">
        <v>208</v>
      </c>
      <c r="M17" s="315">
        <v>193</v>
      </c>
      <c r="N17" s="152">
        <f t="shared" si="1"/>
        <v>1363</v>
      </c>
      <c r="O17" s="149">
        <v>5</v>
      </c>
      <c r="P17" s="149"/>
      <c r="Q17" s="149"/>
      <c r="R17" s="149">
        <v>10</v>
      </c>
      <c r="S17" s="149"/>
      <c r="T17" s="149">
        <v>5</v>
      </c>
      <c r="U17" s="149"/>
      <c r="V17" s="151">
        <f>SUM(O17:U17)+SUM(O16:U16)</f>
        <v>80</v>
      </c>
      <c r="W17" s="316">
        <f>V17+N16+N17</f>
        <v>2855</v>
      </c>
      <c r="X17" s="149">
        <f t="shared" si="2"/>
        <v>84</v>
      </c>
      <c r="Y17" s="149">
        <f t="shared" si="3"/>
        <v>1279</v>
      </c>
      <c r="Z17" s="317">
        <f t="shared" si="4"/>
        <v>182.71428571428572</v>
      </c>
      <c r="AA17" s="318">
        <f>IF(G17&gt;0,AVERAGE(Z16:Z17),0)</f>
        <v>184.21428571428572</v>
      </c>
      <c r="AB17" s="247">
        <f>'Zwischenrunde 16'!R17</f>
        <v>62</v>
      </c>
    </row>
    <row r="18" spans="1:28" ht="21.75" customHeight="1">
      <c r="A18" s="264">
        <v>8</v>
      </c>
      <c r="B18" s="158" t="str">
        <f>LOOKUP($AB18,Namen!$A$6:$A$117,Namen!$B$6:$B$117)</f>
        <v>Jauch Daniel </v>
      </c>
      <c r="C18" s="158" t="str">
        <f>LOOKUP($AB18,Namen!$A$6:$A$117,Namen!$C$6:$C$117)</f>
        <v>BE</v>
      </c>
      <c r="D18" s="158">
        <f>LOOKUP($AB18,Namen!$A$6:$A$117,Namen!$D$6:$D$117)</f>
        <v>4</v>
      </c>
      <c r="E18" s="158">
        <f>LOOKUP($AB18,Namen!$A$6:$A$117,Namen!$E$6:$E$117)</f>
        <v>0</v>
      </c>
      <c r="F18" s="160">
        <f t="shared" si="0"/>
        <v>7</v>
      </c>
      <c r="G18" s="298">
        <v>205</v>
      </c>
      <c r="H18" s="298">
        <v>227</v>
      </c>
      <c r="I18" s="298">
        <v>209</v>
      </c>
      <c r="J18" s="298">
        <v>173</v>
      </c>
      <c r="K18" s="298">
        <v>177</v>
      </c>
      <c r="L18" s="298">
        <v>207</v>
      </c>
      <c r="M18" s="298">
        <v>174</v>
      </c>
      <c r="N18" s="161">
        <f t="shared" si="1"/>
        <v>1372</v>
      </c>
      <c r="O18" s="158"/>
      <c r="P18" s="158">
        <v>30</v>
      </c>
      <c r="Q18" s="158"/>
      <c r="R18" s="158"/>
      <c r="S18" s="158"/>
      <c r="T18" s="158"/>
      <c r="U18" s="158"/>
      <c r="V18" s="160"/>
      <c r="W18" s="266">
        <f>W19</f>
        <v>2834</v>
      </c>
      <c r="X18" s="158">
        <f t="shared" si="2"/>
        <v>28</v>
      </c>
      <c r="Y18" s="158">
        <f t="shared" si="3"/>
        <v>1344</v>
      </c>
      <c r="Z18" s="258">
        <f t="shared" si="4"/>
        <v>192</v>
      </c>
      <c r="AA18" s="313"/>
      <c r="AB18" s="247">
        <f>'Zwischenrunde 16'!R14</f>
        <v>79</v>
      </c>
    </row>
    <row r="19" spans="1:28" ht="22.5" customHeight="1" thickBot="1">
      <c r="A19" s="314"/>
      <c r="B19" s="149" t="str">
        <f>LOOKUP($AB19,Namen!$A$6:$A$117,Namen!$B$6:$B$117)</f>
        <v>Hubacher Stefan </v>
      </c>
      <c r="C19" s="149" t="str">
        <f>LOOKUP($AB19,Namen!$A$6:$A$117,Namen!$C$6:$C$117)</f>
        <v>BE</v>
      </c>
      <c r="D19" s="149">
        <f>LOOKUP($AB19,Namen!$A$6:$A$117,Namen!$D$6:$D$117)</f>
        <v>17</v>
      </c>
      <c r="E19" s="149">
        <f>LOOKUP($AB19,Namen!$A$6:$A$117,Namen!$E$6:$E$117)</f>
        <v>0</v>
      </c>
      <c r="F19" s="151">
        <f t="shared" si="0"/>
        <v>7</v>
      </c>
      <c r="G19" s="315">
        <v>191</v>
      </c>
      <c r="H19" s="315">
        <v>274</v>
      </c>
      <c r="I19" s="315">
        <v>181</v>
      </c>
      <c r="J19" s="315">
        <v>167</v>
      </c>
      <c r="K19" s="315">
        <v>193</v>
      </c>
      <c r="L19" s="315">
        <v>202</v>
      </c>
      <c r="M19" s="315">
        <v>209</v>
      </c>
      <c r="N19" s="152">
        <f t="shared" si="1"/>
        <v>1417</v>
      </c>
      <c r="O19" s="149"/>
      <c r="P19" s="149">
        <v>10</v>
      </c>
      <c r="Q19" s="149"/>
      <c r="R19" s="149"/>
      <c r="S19" s="149"/>
      <c r="T19" s="149">
        <v>5</v>
      </c>
      <c r="U19" s="149"/>
      <c r="V19" s="151">
        <f>SUM(O19:U19)+SUM(O18:U18)</f>
        <v>45</v>
      </c>
      <c r="W19" s="316">
        <f>V19+N18+N19</f>
        <v>2834</v>
      </c>
      <c r="X19" s="149">
        <f t="shared" si="2"/>
        <v>119</v>
      </c>
      <c r="Y19" s="149">
        <f t="shared" si="3"/>
        <v>1298</v>
      </c>
      <c r="Z19" s="317">
        <f t="shared" si="4"/>
        <v>185.42857142857142</v>
      </c>
      <c r="AA19" s="318">
        <f>IF(G19&gt;0,AVERAGE(Z18:Z19),0)</f>
        <v>188.71428571428572</v>
      </c>
      <c r="AB19" s="247">
        <f>'Zwischenrunde 16'!R15</f>
        <v>80</v>
      </c>
    </row>
    <row r="20" spans="26:27" ht="12.75">
      <c r="Z20" s="7"/>
      <c r="AA20" s="131"/>
    </row>
    <row r="21" spans="26:27" ht="12.75">
      <c r="Z21" s="7"/>
      <c r="AA21" s="132"/>
    </row>
    <row r="22" spans="2:27" ht="12.75">
      <c r="B22" s="192"/>
      <c r="C22" s="192"/>
      <c r="D22" s="193" t="s">
        <v>81</v>
      </c>
      <c r="E22" s="192"/>
      <c r="F22" s="193"/>
      <c r="G22" s="192"/>
      <c r="H22" s="192"/>
      <c r="I22" s="192"/>
      <c r="J22" s="192"/>
      <c r="K22" s="192"/>
      <c r="L22" s="192"/>
      <c r="M22" s="192"/>
      <c r="Z22" s="7"/>
      <c r="AA22" s="131"/>
    </row>
    <row r="23" spans="2:14" ht="12.75">
      <c r="B23" s="192" t="str">
        <f>B4</f>
        <v>Stucki Daryl</v>
      </c>
      <c r="C23" s="192"/>
      <c r="D23" s="193"/>
      <c r="E23" s="192"/>
      <c r="F23" s="193"/>
      <c r="G23" s="194">
        <f>G4-D4</f>
        <v>176</v>
      </c>
      <c r="H23" s="194">
        <f>H4-D4</f>
        <v>162</v>
      </c>
      <c r="I23" s="194">
        <f>I4-D4</f>
        <v>221</v>
      </c>
      <c r="J23" s="194">
        <f>J4-D4</f>
        <v>213</v>
      </c>
      <c r="K23" s="194">
        <f>K4-D4</f>
        <v>209</v>
      </c>
      <c r="L23" s="194">
        <f>L4-D4</f>
        <v>212</v>
      </c>
      <c r="M23" s="194">
        <f>M4-D4</f>
        <v>203</v>
      </c>
      <c r="N23" s="15"/>
    </row>
    <row r="24" spans="2:21" ht="15">
      <c r="B24" s="192" t="str">
        <f aca="true" t="shared" si="5" ref="B24:B38">B5</f>
        <v>Haasper Kevin</v>
      </c>
      <c r="C24" s="192"/>
      <c r="D24" s="193"/>
      <c r="E24" s="192"/>
      <c r="F24" s="193"/>
      <c r="G24" s="194">
        <f aca="true" t="shared" si="6" ref="G24:G38">G5-D5</f>
        <v>177</v>
      </c>
      <c r="H24" s="194">
        <f aca="true" t="shared" si="7" ref="H24:H38">H5-D5</f>
        <v>190</v>
      </c>
      <c r="I24" s="194">
        <f aca="true" t="shared" si="8" ref="I24:I38">I5-D5</f>
        <v>215</v>
      </c>
      <c r="J24" s="194">
        <f aca="true" t="shared" si="9" ref="J24:J38">J5-D5</f>
        <v>300</v>
      </c>
      <c r="K24" s="194">
        <f aca="true" t="shared" si="10" ref="K24:K38">K5-D5</f>
        <v>231</v>
      </c>
      <c r="L24" s="194">
        <f aca="true" t="shared" si="11" ref="L24:L38">L5-D5</f>
        <v>199</v>
      </c>
      <c r="M24" s="194">
        <f aca="true" t="shared" si="12" ref="M24:M38">M5-D5</f>
        <v>170</v>
      </c>
      <c r="R24" s="298"/>
      <c r="S24" s="298"/>
      <c r="T24" s="298"/>
      <c r="U24" s="298"/>
    </row>
    <row r="25" spans="2:13" ht="12.75">
      <c r="B25" s="192" t="str">
        <f t="shared" si="5"/>
        <v>Ancarani Mario</v>
      </c>
      <c r="C25" s="192"/>
      <c r="D25" s="193"/>
      <c r="E25" s="192"/>
      <c r="F25" s="193"/>
      <c r="G25" s="194">
        <f t="shared" si="6"/>
        <v>203</v>
      </c>
      <c r="H25" s="194">
        <f t="shared" si="7"/>
        <v>176</v>
      </c>
      <c r="I25" s="194">
        <f t="shared" si="8"/>
        <v>159</v>
      </c>
      <c r="J25" s="194">
        <f t="shared" si="9"/>
        <v>202</v>
      </c>
      <c r="K25" s="194">
        <f t="shared" si="10"/>
        <v>201</v>
      </c>
      <c r="L25" s="194">
        <f t="shared" si="11"/>
        <v>233</v>
      </c>
      <c r="M25" s="194">
        <f t="shared" si="12"/>
        <v>205</v>
      </c>
    </row>
    <row r="26" spans="2:13" ht="12.75">
      <c r="B26" s="192" t="str">
        <f t="shared" si="5"/>
        <v>Fiorani Lucio</v>
      </c>
      <c r="C26" s="192"/>
      <c r="D26" s="193"/>
      <c r="E26" s="192"/>
      <c r="F26" s="193"/>
      <c r="G26" s="194">
        <f t="shared" si="6"/>
        <v>235</v>
      </c>
      <c r="H26" s="194">
        <f t="shared" si="7"/>
        <v>238</v>
      </c>
      <c r="I26" s="194">
        <f t="shared" si="8"/>
        <v>212</v>
      </c>
      <c r="J26" s="194">
        <f t="shared" si="9"/>
        <v>224</v>
      </c>
      <c r="K26" s="194">
        <f t="shared" si="10"/>
        <v>183</v>
      </c>
      <c r="L26" s="194">
        <f t="shared" si="11"/>
        <v>193</v>
      </c>
      <c r="M26" s="194">
        <f t="shared" si="12"/>
        <v>258</v>
      </c>
    </row>
    <row r="27" spans="2:13" ht="12.75">
      <c r="B27" s="192" t="str">
        <f t="shared" si="5"/>
        <v>Gede Mudana</v>
      </c>
      <c r="C27" s="192"/>
      <c r="D27" s="193"/>
      <c r="E27" s="192"/>
      <c r="F27" s="193"/>
      <c r="G27" s="194">
        <f t="shared" si="6"/>
        <v>217</v>
      </c>
      <c r="H27" s="194">
        <f t="shared" si="7"/>
        <v>200</v>
      </c>
      <c r="I27" s="194">
        <f t="shared" si="8"/>
        <v>213</v>
      </c>
      <c r="J27" s="194">
        <f t="shared" si="9"/>
        <v>225</v>
      </c>
      <c r="K27" s="194">
        <f t="shared" si="10"/>
        <v>248</v>
      </c>
      <c r="L27" s="194">
        <f t="shared" si="11"/>
        <v>177</v>
      </c>
      <c r="M27" s="194">
        <f t="shared" si="12"/>
        <v>148</v>
      </c>
    </row>
    <row r="28" spans="2:13" ht="12.75">
      <c r="B28" s="192" t="str">
        <f t="shared" si="5"/>
        <v>Gede Suyasa</v>
      </c>
      <c r="C28" s="192"/>
      <c r="D28" s="193"/>
      <c r="E28" s="192"/>
      <c r="F28" s="193"/>
      <c r="G28" s="194">
        <f t="shared" si="6"/>
        <v>213</v>
      </c>
      <c r="H28" s="194">
        <f t="shared" si="7"/>
        <v>236</v>
      </c>
      <c r="I28" s="194">
        <f t="shared" si="8"/>
        <v>192</v>
      </c>
      <c r="J28" s="194">
        <f t="shared" si="9"/>
        <v>216</v>
      </c>
      <c r="K28" s="194">
        <f t="shared" si="10"/>
        <v>177</v>
      </c>
      <c r="L28" s="194">
        <f t="shared" si="11"/>
        <v>201</v>
      </c>
      <c r="M28" s="194">
        <f t="shared" si="12"/>
        <v>163</v>
      </c>
    </row>
    <row r="29" spans="2:13" ht="12.75">
      <c r="B29" s="192" t="str">
        <f t="shared" si="5"/>
        <v>Gnägi Kevin</v>
      </c>
      <c r="C29" s="192"/>
      <c r="D29" s="193"/>
      <c r="E29" s="192"/>
      <c r="F29" s="193"/>
      <c r="G29" s="194">
        <f t="shared" si="6"/>
        <v>162</v>
      </c>
      <c r="H29" s="194">
        <f t="shared" si="7"/>
        <v>237</v>
      </c>
      <c r="I29" s="194">
        <f t="shared" si="8"/>
        <v>268</v>
      </c>
      <c r="J29" s="194">
        <f t="shared" si="9"/>
        <v>201</v>
      </c>
      <c r="K29" s="194">
        <f t="shared" si="10"/>
        <v>224</v>
      </c>
      <c r="L29" s="194">
        <f t="shared" si="11"/>
        <v>192</v>
      </c>
      <c r="M29" s="194">
        <f t="shared" si="12"/>
        <v>187</v>
      </c>
    </row>
    <row r="30" spans="2:13" ht="12.75">
      <c r="B30" s="192" t="str">
        <f t="shared" si="5"/>
        <v>Suter Martin</v>
      </c>
      <c r="C30" s="192"/>
      <c r="D30" s="193"/>
      <c r="E30" s="192"/>
      <c r="F30" s="193"/>
      <c r="G30" s="194">
        <f t="shared" si="6"/>
        <v>177</v>
      </c>
      <c r="H30" s="194">
        <f t="shared" si="7"/>
        <v>205</v>
      </c>
      <c r="I30" s="194">
        <f t="shared" si="8"/>
        <v>259</v>
      </c>
      <c r="J30" s="194">
        <f t="shared" si="9"/>
        <v>169</v>
      </c>
      <c r="K30" s="194">
        <f t="shared" si="10"/>
        <v>215</v>
      </c>
      <c r="L30" s="194">
        <f t="shared" si="11"/>
        <v>258</v>
      </c>
      <c r="M30" s="194">
        <f t="shared" si="12"/>
        <v>203</v>
      </c>
    </row>
    <row r="31" spans="2:13" ht="12.75">
      <c r="B31" s="192" t="str">
        <f t="shared" si="5"/>
        <v>Ancarani Sandro</v>
      </c>
      <c r="C31" s="192"/>
      <c r="D31" s="193"/>
      <c r="E31" s="192"/>
      <c r="F31" s="193"/>
      <c r="G31" s="194">
        <f t="shared" si="6"/>
        <v>183</v>
      </c>
      <c r="H31" s="194">
        <f t="shared" si="7"/>
        <v>222</v>
      </c>
      <c r="I31" s="194">
        <f t="shared" si="8"/>
        <v>213</v>
      </c>
      <c r="J31" s="194">
        <f t="shared" si="9"/>
        <v>193</v>
      </c>
      <c r="K31" s="194">
        <f t="shared" si="10"/>
        <v>225</v>
      </c>
      <c r="L31" s="194">
        <f t="shared" si="11"/>
        <v>214</v>
      </c>
      <c r="M31" s="194">
        <f t="shared" si="12"/>
        <v>207</v>
      </c>
    </row>
    <row r="32" spans="2:13" ht="12.75">
      <c r="B32" s="192" t="str">
        <f t="shared" si="5"/>
        <v>Thurston Roger</v>
      </c>
      <c r="C32" s="192"/>
      <c r="D32" s="193"/>
      <c r="E32" s="192"/>
      <c r="F32" s="193"/>
      <c r="G32" s="194">
        <f t="shared" si="6"/>
        <v>236</v>
      </c>
      <c r="H32" s="194">
        <f t="shared" si="7"/>
        <v>211</v>
      </c>
      <c r="I32" s="194">
        <f t="shared" si="8"/>
        <v>192</v>
      </c>
      <c r="J32" s="194">
        <f t="shared" si="9"/>
        <v>191</v>
      </c>
      <c r="K32" s="194">
        <f t="shared" si="10"/>
        <v>178</v>
      </c>
      <c r="L32" s="194">
        <f t="shared" si="11"/>
        <v>193</v>
      </c>
      <c r="M32" s="194">
        <f t="shared" si="12"/>
        <v>235</v>
      </c>
    </row>
    <row r="33" spans="2:13" ht="12.75">
      <c r="B33" s="192" t="str">
        <f t="shared" si="5"/>
        <v>Bloch Stefan</v>
      </c>
      <c r="C33" s="192"/>
      <c r="D33" s="193"/>
      <c r="E33" s="192"/>
      <c r="F33" s="193"/>
      <c r="G33" s="194">
        <f t="shared" si="6"/>
        <v>201</v>
      </c>
      <c r="H33" s="194">
        <f t="shared" si="7"/>
        <v>235</v>
      </c>
      <c r="I33" s="194">
        <f t="shared" si="8"/>
        <v>237</v>
      </c>
      <c r="J33" s="194">
        <f t="shared" si="9"/>
        <v>190</v>
      </c>
      <c r="K33" s="194">
        <f t="shared" si="10"/>
        <v>166</v>
      </c>
      <c r="L33" s="194">
        <f t="shared" si="11"/>
        <v>201</v>
      </c>
      <c r="M33" s="194">
        <f t="shared" si="12"/>
        <v>190</v>
      </c>
    </row>
    <row r="34" spans="2:13" ht="12.75">
      <c r="B34" s="192" t="str">
        <f t="shared" si="5"/>
        <v>Deiner Michael</v>
      </c>
      <c r="C34" s="192"/>
      <c r="D34" s="193"/>
      <c r="E34" s="192"/>
      <c r="F34" s="193"/>
      <c r="G34" s="194">
        <f t="shared" si="6"/>
        <v>230</v>
      </c>
      <c r="H34" s="194">
        <f t="shared" si="7"/>
        <v>182</v>
      </c>
      <c r="I34" s="194">
        <f t="shared" si="8"/>
        <v>202</v>
      </c>
      <c r="J34" s="194">
        <f t="shared" si="9"/>
        <v>212</v>
      </c>
      <c r="K34" s="194">
        <f t="shared" si="10"/>
        <v>216</v>
      </c>
      <c r="L34" s="194">
        <f t="shared" si="11"/>
        <v>148</v>
      </c>
      <c r="M34" s="194">
        <f t="shared" si="12"/>
        <v>211</v>
      </c>
    </row>
    <row r="35" spans="2:13" ht="12.75">
      <c r="B35" s="192" t="str">
        <f t="shared" si="5"/>
        <v>Meyer Samuel</v>
      </c>
      <c r="C35" s="192"/>
      <c r="D35" s="193"/>
      <c r="E35" s="192"/>
      <c r="F35" s="193"/>
      <c r="G35" s="194">
        <f t="shared" si="6"/>
        <v>220</v>
      </c>
      <c r="H35" s="194">
        <f t="shared" si="7"/>
        <v>144</v>
      </c>
      <c r="I35" s="194">
        <f t="shared" si="8"/>
        <v>181</v>
      </c>
      <c r="J35" s="194">
        <f t="shared" si="9"/>
        <v>229</v>
      </c>
      <c r="K35" s="194">
        <f t="shared" si="10"/>
        <v>132</v>
      </c>
      <c r="L35" s="194">
        <f t="shared" si="11"/>
        <v>204</v>
      </c>
      <c r="M35" s="194">
        <f t="shared" si="12"/>
        <v>190</v>
      </c>
    </row>
    <row r="36" spans="2:13" ht="12.75">
      <c r="B36" s="192" t="str">
        <f t="shared" si="5"/>
        <v>Punsalan Dany</v>
      </c>
      <c r="C36" s="192"/>
      <c r="D36" s="193"/>
      <c r="E36" s="192"/>
      <c r="F36" s="193"/>
      <c r="G36" s="194">
        <f t="shared" si="6"/>
        <v>176</v>
      </c>
      <c r="H36" s="194">
        <f t="shared" si="7"/>
        <v>189</v>
      </c>
      <c r="I36" s="194">
        <f t="shared" si="8"/>
        <v>170</v>
      </c>
      <c r="J36" s="194">
        <f t="shared" si="9"/>
        <v>207</v>
      </c>
      <c r="K36" s="194">
        <f t="shared" si="10"/>
        <v>160</v>
      </c>
      <c r="L36" s="194">
        <f t="shared" si="11"/>
        <v>196</v>
      </c>
      <c r="M36" s="194">
        <f t="shared" si="12"/>
        <v>181</v>
      </c>
    </row>
    <row r="37" spans="2:13" ht="12.75">
      <c r="B37" s="192" t="str">
        <f t="shared" si="5"/>
        <v>Jauch Daniel </v>
      </c>
      <c r="C37" s="192"/>
      <c r="D37" s="193"/>
      <c r="E37" s="192"/>
      <c r="F37" s="193"/>
      <c r="G37" s="194">
        <f t="shared" si="6"/>
        <v>201</v>
      </c>
      <c r="H37" s="194">
        <f t="shared" si="7"/>
        <v>223</v>
      </c>
      <c r="I37" s="194">
        <f t="shared" si="8"/>
        <v>205</v>
      </c>
      <c r="J37" s="194">
        <f t="shared" si="9"/>
        <v>169</v>
      </c>
      <c r="K37" s="194">
        <f t="shared" si="10"/>
        <v>173</v>
      </c>
      <c r="L37" s="194">
        <f t="shared" si="11"/>
        <v>203</v>
      </c>
      <c r="M37" s="194">
        <f t="shared" si="12"/>
        <v>170</v>
      </c>
    </row>
    <row r="38" spans="2:13" ht="12.75">
      <c r="B38" s="192" t="str">
        <f t="shared" si="5"/>
        <v>Hubacher Stefan </v>
      </c>
      <c r="C38" s="192"/>
      <c r="D38" s="193"/>
      <c r="E38" s="192"/>
      <c r="F38" s="193"/>
      <c r="G38" s="194">
        <f t="shared" si="6"/>
        <v>174</v>
      </c>
      <c r="H38" s="194">
        <f t="shared" si="7"/>
        <v>257</v>
      </c>
      <c r="I38" s="194">
        <f t="shared" si="8"/>
        <v>164</v>
      </c>
      <c r="J38" s="194">
        <f t="shared" si="9"/>
        <v>150</v>
      </c>
      <c r="K38" s="194">
        <f t="shared" si="10"/>
        <v>176</v>
      </c>
      <c r="L38" s="194">
        <f t="shared" si="11"/>
        <v>185</v>
      </c>
      <c r="M38" s="194">
        <f t="shared" si="12"/>
        <v>192</v>
      </c>
    </row>
  </sheetData>
  <conditionalFormatting sqref="G20:M20">
    <cfRule type="cellIs" priority="1" dxfId="0" operator="greaterThanOrEqual" stopIfTrue="1">
      <formula>200</formula>
    </cfRule>
  </conditionalFormatting>
  <conditionalFormatting sqref="N4:N20">
    <cfRule type="cellIs" priority="2" dxfId="0" operator="greaterThanOrEqual" stopIfTrue="1">
      <formula>900</formula>
    </cfRule>
  </conditionalFormatting>
  <conditionalFormatting sqref="G4:M19 R24:U24">
    <cfRule type="cellIs" priority="3" dxfId="2" operator="greaterThanOrEqual" stopIfTrue="1">
      <formula>200</formula>
    </cfRule>
  </conditionalFormatting>
  <printOptions/>
  <pageMargins left="0.47" right="0.48" top="0.48" bottom="1" header="0.511811023" footer="0.511811023"/>
  <pageSetup fitToHeight="1" fitToWidth="1" horizontalDpi="300" verticalDpi="300" orientation="landscape" paperSize="9" scale="54" r:id="rId1"/>
  <headerFooter alignWithMargins="0">
    <oddFooter>&amp;CSeite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113"/>
  <sheetViews>
    <sheetView zoomScale="75" zoomScaleNormal="75" workbookViewId="0" topLeftCell="A1">
      <pane xSplit="5" ySplit="3" topLeftCell="F4" activePane="bottomRight" state="frozen"/>
      <selection pane="topLeft" activeCell="A1" sqref="A1"/>
      <selection pane="topRight" activeCell="G1" sqref="G1"/>
      <selection pane="bottomLeft" activeCell="A4" sqref="A4"/>
      <selection pane="bottomRight" activeCell="F4" sqref="F4"/>
    </sheetView>
  </sheetViews>
  <sheetFormatPr defaultColWidth="11.421875" defaultRowHeight="12.75"/>
  <cols>
    <col min="1" max="1" width="6.00390625" style="0" hidden="1" customWidth="1"/>
    <col min="2" max="2" width="28.140625" style="3" bestFit="1" customWidth="1"/>
    <col min="3" max="3" width="5.00390625" style="7" customWidth="1"/>
    <col min="4" max="5" width="5.8515625" style="7" customWidth="1"/>
    <col min="6" max="11" width="8.00390625" style="18" customWidth="1"/>
    <col min="12" max="12" width="8.57421875" style="18" customWidth="1"/>
    <col min="13" max="24" width="8.00390625" style="18" customWidth="1"/>
    <col min="25" max="26" width="9.140625" style="18" customWidth="1"/>
    <col min="27" max="27" width="8.28125" style="20" customWidth="1"/>
    <col min="28" max="29" width="8.00390625" style="18" customWidth="1"/>
    <col min="30" max="30" width="9.28125" style="21" customWidth="1"/>
    <col min="31" max="31" width="11.421875" style="0" hidden="1" customWidth="1"/>
    <col min="32" max="32" width="12.57421875" style="0" bestFit="1" customWidth="1"/>
  </cols>
  <sheetData>
    <row r="1" spans="1:30" ht="48.75" customHeight="1" thickBot="1">
      <c r="A1" s="34"/>
      <c r="B1" s="34"/>
      <c r="C1" s="34"/>
      <c r="D1" s="34"/>
      <c r="E1" s="34"/>
      <c r="F1" s="34"/>
      <c r="G1" s="34"/>
      <c r="H1" s="34"/>
      <c r="I1" s="34"/>
      <c r="J1" s="34"/>
      <c r="N1" s="128" t="s">
        <v>170</v>
      </c>
      <c r="O1" s="34"/>
      <c r="P1" s="34"/>
      <c r="Q1" s="34"/>
      <c r="R1" s="34"/>
      <c r="S1" s="34"/>
      <c r="T1" s="34"/>
      <c r="U1" s="34"/>
      <c r="V1" s="34"/>
      <c r="W1" s="34"/>
      <c r="X1" s="34"/>
      <c r="Y1" s="34"/>
      <c r="Z1" s="34"/>
      <c r="AA1" s="195"/>
      <c r="AB1" s="34"/>
      <c r="AC1" s="34"/>
      <c r="AD1" s="34"/>
    </row>
    <row r="2" spans="1:30" ht="22.5" customHeight="1" thickBot="1">
      <c r="A2" s="181"/>
      <c r="B2" s="182"/>
      <c r="C2" s="183"/>
      <c r="D2" s="183"/>
      <c r="E2" s="183"/>
      <c r="F2" s="184"/>
      <c r="G2" s="185"/>
      <c r="H2" s="186" t="s">
        <v>76</v>
      </c>
      <c r="I2" s="185"/>
      <c r="J2" s="185"/>
      <c r="K2" s="187"/>
      <c r="L2" s="185"/>
      <c r="M2" s="185"/>
      <c r="N2" s="184"/>
      <c r="O2" s="185"/>
      <c r="P2" s="186" t="s">
        <v>77</v>
      </c>
      <c r="Q2" s="187"/>
      <c r="R2" s="184"/>
      <c r="S2" s="185"/>
      <c r="T2" s="185"/>
      <c r="U2" s="185"/>
      <c r="V2" s="190" t="s">
        <v>78</v>
      </c>
      <c r="W2" s="185"/>
      <c r="X2" s="187"/>
      <c r="Y2" s="185"/>
      <c r="Z2" s="185"/>
      <c r="AA2" s="188"/>
      <c r="AB2" s="185"/>
      <c r="AC2" s="185"/>
      <c r="AD2" s="189"/>
    </row>
    <row r="3" spans="1:30" s="12" customFormat="1" ht="33" customHeight="1">
      <c r="A3" s="174"/>
      <c r="B3" s="175" t="s">
        <v>1</v>
      </c>
      <c r="C3" s="170" t="s">
        <v>2</v>
      </c>
      <c r="D3" s="170" t="s">
        <v>3</v>
      </c>
      <c r="E3" s="176" t="s">
        <v>4</v>
      </c>
      <c r="F3" s="170" t="s">
        <v>5</v>
      </c>
      <c r="G3" s="170" t="s">
        <v>6</v>
      </c>
      <c r="H3" s="170" t="s">
        <v>7</v>
      </c>
      <c r="I3" s="170" t="s">
        <v>8</v>
      </c>
      <c r="J3" s="170" t="s">
        <v>9</v>
      </c>
      <c r="K3" s="319" t="s">
        <v>10</v>
      </c>
      <c r="L3" s="170" t="s">
        <v>55</v>
      </c>
      <c r="M3" s="320" t="s">
        <v>82</v>
      </c>
      <c r="N3" s="172" t="s">
        <v>5</v>
      </c>
      <c r="O3" s="170" t="s">
        <v>6</v>
      </c>
      <c r="P3" s="170" t="s">
        <v>7</v>
      </c>
      <c r="Q3" s="171" t="s">
        <v>8</v>
      </c>
      <c r="R3" s="172" t="s">
        <v>5</v>
      </c>
      <c r="S3" s="170" t="s">
        <v>6</v>
      </c>
      <c r="T3" s="170" t="s">
        <v>7</v>
      </c>
      <c r="U3" s="170" t="s">
        <v>8</v>
      </c>
      <c r="V3" s="170" t="s">
        <v>9</v>
      </c>
      <c r="W3" s="170" t="s">
        <v>10</v>
      </c>
      <c r="X3" s="171" t="s">
        <v>55</v>
      </c>
      <c r="Y3" s="177" t="s">
        <v>79</v>
      </c>
      <c r="Z3" s="170" t="s">
        <v>75</v>
      </c>
      <c r="AA3" s="178" t="s">
        <v>80</v>
      </c>
      <c r="AB3" s="170" t="s">
        <v>3</v>
      </c>
      <c r="AC3" s="170" t="s">
        <v>11</v>
      </c>
      <c r="AD3" s="179" t="s">
        <v>13</v>
      </c>
    </row>
    <row r="4" spans="1:35" s="12" customFormat="1" ht="18" customHeight="1">
      <c r="A4" s="133">
        <v>21</v>
      </c>
      <c r="B4" s="134" t="s">
        <v>175</v>
      </c>
      <c r="C4" s="135" t="s">
        <v>125</v>
      </c>
      <c r="D4" s="135">
        <v>10</v>
      </c>
      <c r="E4" s="135" t="s">
        <v>166</v>
      </c>
      <c r="F4" s="136">
        <f>VLOOKUP($B4,Quali!$B:$N,6,0)</f>
        <v>205</v>
      </c>
      <c r="G4" s="136">
        <f>VLOOKUP($B4,Quali!$B:$N,7,0)</f>
        <v>192</v>
      </c>
      <c r="H4" s="136">
        <f>VLOOKUP($B4,Quali!$B:$N,8,0)</f>
        <v>235</v>
      </c>
      <c r="I4" s="136">
        <f>VLOOKUP($B4,Quali!$B:$N,9,0)</f>
        <v>234</v>
      </c>
      <c r="J4" s="136">
        <f>VLOOKUP($B4,Quali!$B:$N,10,0)</f>
        <v>224</v>
      </c>
      <c r="K4" s="136">
        <f>VLOOKUP($B4,Quali!$B:$N,11,0)</f>
        <v>205</v>
      </c>
      <c r="L4" s="136">
        <f>VLOOKUP($B4,Quali!$B:$N,12,0)</f>
        <v>202</v>
      </c>
      <c r="M4" s="142">
        <f>VLOOKUP($B4,Quali!$B:$N,13,0)</f>
        <v>224</v>
      </c>
      <c r="N4" s="141">
        <f>VLOOKUP($B4,'Zwischenrunde 16'!$B:$J,6,0)</f>
        <v>199</v>
      </c>
      <c r="O4" s="135">
        <f>VLOOKUP($B4,'Zwischenrunde 16'!$B:$J,7,0)</f>
        <v>206</v>
      </c>
      <c r="P4" s="135">
        <f>VLOOKUP($B4,'Zwischenrunde 16'!$B:$J,8,0)</f>
        <v>226</v>
      </c>
      <c r="Q4" s="143">
        <f>VLOOKUP($B4,'Zwischenrunde 16'!$B:$J,9,0)</f>
        <v>177</v>
      </c>
      <c r="R4" s="141">
        <f>VLOOKUP($B4,'Petersen-Rangliste'!$B$23:$M$38,6,0)</f>
        <v>177</v>
      </c>
      <c r="S4" s="135">
        <f>VLOOKUP($B4,'Petersen-Rangliste'!$B$23:$M$38,7,0)</f>
        <v>190</v>
      </c>
      <c r="T4" s="135">
        <f>VLOOKUP($B4,'Petersen-Rangliste'!$B$23:$M$38,8,0)</f>
        <v>215</v>
      </c>
      <c r="U4" s="135">
        <f>VLOOKUP($B4,'Petersen-Rangliste'!$B$23:$M$38,9,0)</f>
        <v>300</v>
      </c>
      <c r="V4" s="135">
        <f>VLOOKUP($B4,'Petersen-Rangliste'!$B$23:$M$38,10,0)</f>
        <v>231</v>
      </c>
      <c r="W4" s="135">
        <f>VLOOKUP($B4,'Petersen-Rangliste'!$B$23:$M$38,11,0)</f>
        <v>199</v>
      </c>
      <c r="X4" s="143">
        <f>VLOOKUP($B4,'Petersen-Rangliste'!$B$23:$M$38,12,0)</f>
        <v>170</v>
      </c>
      <c r="Y4" s="141">
        <f>SUM(F4:X4)</f>
        <v>4011</v>
      </c>
      <c r="Z4" s="135">
        <f>COUNT(F4:X4)</f>
        <v>19</v>
      </c>
      <c r="AA4" s="137">
        <f>Y4/Z4</f>
        <v>211.10526315789474</v>
      </c>
      <c r="AB4" s="135">
        <f>D4*Z4</f>
        <v>190</v>
      </c>
      <c r="AC4" s="135">
        <f>Y4+AB4</f>
        <v>4201</v>
      </c>
      <c r="AD4" s="146">
        <f>SUM(AC3:AC4)</f>
        <v>4201</v>
      </c>
      <c r="AE4" s="16"/>
      <c r="AI4" s="19"/>
    </row>
    <row r="5" spans="1:35" s="12" customFormat="1" ht="18" customHeight="1">
      <c r="A5" s="133">
        <v>22</v>
      </c>
      <c r="B5" s="134" t="s">
        <v>142</v>
      </c>
      <c r="C5" s="135" t="s">
        <v>125</v>
      </c>
      <c r="D5" s="135">
        <v>13</v>
      </c>
      <c r="E5" s="135"/>
      <c r="F5" s="136">
        <f>VLOOKUP($B5,Quali!$B:$N,6,0)</f>
        <v>199</v>
      </c>
      <c r="G5" s="136">
        <f>VLOOKUP($B5,Quali!$B:$N,7,0)</f>
        <v>190</v>
      </c>
      <c r="H5" s="136">
        <f>VLOOKUP($B5,Quali!$B:$N,8,0)</f>
        <v>209</v>
      </c>
      <c r="I5" s="136">
        <f>VLOOKUP($B5,Quali!$B:$N,9,0)</f>
        <v>168</v>
      </c>
      <c r="J5" s="136">
        <f>VLOOKUP($B5,Quali!$B:$N,10,0)</f>
        <v>197</v>
      </c>
      <c r="K5" s="136">
        <f>VLOOKUP($B5,Quali!$B:$N,11,0)</f>
        <v>249</v>
      </c>
      <c r="L5" s="136">
        <f>VLOOKUP($B5,Quali!$B:$N,12,0)</f>
        <v>213</v>
      </c>
      <c r="M5" s="142">
        <f>VLOOKUP($B5,Quali!$B:$N,13,0)</f>
        <v>226</v>
      </c>
      <c r="N5" s="140">
        <f>VLOOKUP($B5,'Zwischenrunde 16'!$B:$J,6,0)</f>
        <v>200</v>
      </c>
      <c r="O5" s="136">
        <f>VLOOKUP($B5,'Zwischenrunde 16'!$B:$J,7,0)</f>
        <v>182</v>
      </c>
      <c r="P5" s="136">
        <f>VLOOKUP($B5,'Zwischenrunde 16'!$B:$J,8,0)</f>
        <v>161</v>
      </c>
      <c r="Q5" s="142">
        <f>VLOOKUP($B5,'Zwischenrunde 16'!$B:$J,9,0)</f>
        <v>159</v>
      </c>
      <c r="R5" s="140">
        <f>VLOOKUP($B5,'Petersen-Rangliste'!$B$23:$M$38,6,0)</f>
        <v>217</v>
      </c>
      <c r="S5" s="136">
        <f>VLOOKUP($B5,'Petersen-Rangliste'!$B$23:$M$38,7,0)</f>
        <v>200</v>
      </c>
      <c r="T5" s="136">
        <f>VLOOKUP($B5,'Petersen-Rangliste'!$B$23:$M$38,8,0)</f>
        <v>213</v>
      </c>
      <c r="U5" s="136">
        <f>VLOOKUP($B5,'Petersen-Rangliste'!$B$23:$M$38,9,0)</f>
        <v>225</v>
      </c>
      <c r="V5" s="136">
        <f>VLOOKUP($B5,'Petersen-Rangliste'!$B$23:$M$38,10,0)</f>
        <v>248</v>
      </c>
      <c r="W5" s="136">
        <f>VLOOKUP($B5,'Petersen-Rangliste'!$B$23:$M$38,11,0)</f>
        <v>177</v>
      </c>
      <c r="X5" s="142">
        <f>VLOOKUP($B5,'Petersen-Rangliste'!$B$23:$M$38,12,0)</f>
        <v>148</v>
      </c>
      <c r="Y5" s="140">
        <f>SUM(F5:X5)</f>
        <v>3781</v>
      </c>
      <c r="Z5" s="136">
        <f>COUNT(F5:X5)</f>
        <v>19</v>
      </c>
      <c r="AA5" s="137">
        <f>Y5/Z5</f>
        <v>199</v>
      </c>
      <c r="AB5" s="135">
        <f>D5*Z5</f>
        <v>247</v>
      </c>
      <c r="AC5" s="135">
        <f>Y5+AB5</f>
        <v>4028</v>
      </c>
      <c r="AD5" s="145">
        <f>AD6</f>
        <v>8083</v>
      </c>
      <c r="AE5" s="16">
        <f>AD5/2</f>
        <v>4041.5</v>
      </c>
      <c r="AF5" s="321">
        <f>(Y4+Y5)/38</f>
        <v>205.05263157894737</v>
      </c>
      <c r="AI5" s="19"/>
    </row>
    <row r="6" spans="1:35" s="12" customFormat="1" ht="18" customHeight="1">
      <c r="A6" s="133">
        <v>23</v>
      </c>
      <c r="B6" s="134" t="s">
        <v>143</v>
      </c>
      <c r="C6" s="135" t="s">
        <v>125</v>
      </c>
      <c r="D6" s="135">
        <v>10</v>
      </c>
      <c r="E6" s="135"/>
      <c r="F6" s="136">
        <f>VLOOKUP($B6,Quali!$B:$N,6,0)</f>
        <v>166</v>
      </c>
      <c r="G6" s="136">
        <f>VLOOKUP($B6,Quali!$B:$N,7,0)</f>
        <v>219</v>
      </c>
      <c r="H6" s="136">
        <f>VLOOKUP($B6,Quali!$B:$N,8,0)</f>
        <v>215</v>
      </c>
      <c r="I6" s="136">
        <f>VLOOKUP($B6,Quali!$B:$N,9,0)</f>
        <v>203</v>
      </c>
      <c r="J6" s="136">
        <f>VLOOKUP($B6,Quali!$B:$N,10,0)</f>
        <v>176</v>
      </c>
      <c r="K6" s="136">
        <f>VLOOKUP($B6,Quali!$B:$N,11,0)</f>
        <v>216</v>
      </c>
      <c r="L6" s="136">
        <f>VLOOKUP($B6,Quali!$B:$N,12,0)</f>
        <v>159</v>
      </c>
      <c r="M6" s="142">
        <f>VLOOKUP($B6,Quali!$B:$N,13,0)</f>
        <v>243</v>
      </c>
      <c r="N6" s="141">
        <f>VLOOKUP($B6,'Zwischenrunde 16'!$B:$J,6,0)</f>
        <v>247</v>
      </c>
      <c r="O6" s="135">
        <f>VLOOKUP($B6,'Zwischenrunde 16'!$B:$J,7,0)</f>
        <v>185</v>
      </c>
      <c r="P6" s="135">
        <f>VLOOKUP($B6,'Zwischenrunde 16'!$B:$J,8,0)</f>
        <v>215</v>
      </c>
      <c r="Q6" s="143">
        <f>VLOOKUP($B6,'Zwischenrunde 16'!$B:$J,9,0)</f>
        <v>223</v>
      </c>
      <c r="R6" s="141">
        <f>VLOOKUP($B6,'Petersen-Rangliste'!$B$23:$M$38,6,0)</f>
        <v>213</v>
      </c>
      <c r="S6" s="135">
        <f>VLOOKUP($B6,'Petersen-Rangliste'!$B$23:$M$38,7,0)</f>
        <v>236</v>
      </c>
      <c r="T6" s="135">
        <f>VLOOKUP($B6,'Petersen-Rangliste'!$B$23:$M$38,8,0)</f>
        <v>192</v>
      </c>
      <c r="U6" s="135">
        <f>VLOOKUP($B6,'Petersen-Rangliste'!$B$23:$M$38,9,0)</f>
        <v>216</v>
      </c>
      <c r="V6" s="135">
        <f>VLOOKUP($B6,'Petersen-Rangliste'!$B$23:$M$38,10,0)</f>
        <v>177</v>
      </c>
      <c r="W6" s="135">
        <f>VLOOKUP($B6,'Petersen-Rangliste'!$B$23:$M$38,11,0)</f>
        <v>201</v>
      </c>
      <c r="X6" s="143">
        <f>VLOOKUP($B6,'Petersen-Rangliste'!$B$23:$M$38,12,0)</f>
        <v>163</v>
      </c>
      <c r="Y6" s="141">
        <f>SUM(F6:X6)</f>
        <v>3865</v>
      </c>
      <c r="Z6" s="135">
        <f>COUNT(F6:X6)</f>
        <v>19</v>
      </c>
      <c r="AA6" s="137">
        <f>Y6/Z6</f>
        <v>203.42105263157896</v>
      </c>
      <c r="AB6" s="135">
        <f>D6*Z6</f>
        <v>190</v>
      </c>
      <c r="AC6" s="135">
        <f>Y6+AB6</f>
        <v>4055</v>
      </c>
      <c r="AD6" s="146">
        <f>SUM(AC5:AC6)</f>
        <v>8083</v>
      </c>
      <c r="AE6" s="16"/>
      <c r="AF6" s="321"/>
      <c r="AI6" s="19"/>
    </row>
    <row r="7" spans="1:35" s="12" customFormat="1" ht="18" customHeight="1">
      <c r="A7" s="133">
        <v>24</v>
      </c>
      <c r="B7" s="138" t="s">
        <v>136</v>
      </c>
      <c r="C7" s="135" t="s">
        <v>125</v>
      </c>
      <c r="D7" s="135">
        <v>0</v>
      </c>
      <c r="E7" s="135"/>
      <c r="F7" s="136">
        <f>VLOOKUP($B7,Quali!$B:$N,6,0)</f>
        <v>233</v>
      </c>
      <c r="G7" s="136">
        <f>VLOOKUP($B7,Quali!$B:$N,7,0)</f>
        <v>146</v>
      </c>
      <c r="H7" s="136">
        <f>VLOOKUP($B7,Quali!$B:$N,8,0)</f>
        <v>187</v>
      </c>
      <c r="I7" s="136">
        <f>VLOOKUP($B7,Quali!$B:$N,9,0)</f>
        <v>246</v>
      </c>
      <c r="J7" s="136">
        <f>VLOOKUP($B7,Quali!$B:$N,10,0)</f>
        <v>247</v>
      </c>
      <c r="K7" s="136">
        <f>VLOOKUP($B7,Quali!$B:$N,11,0)</f>
        <v>213</v>
      </c>
      <c r="L7" s="136">
        <f>VLOOKUP($B7,Quali!$B:$N,12,0)</f>
        <v>213</v>
      </c>
      <c r="M7" s="142">
        <f>VLOOKUP($B7,Quali!$B:$N,13,0)</f>
        <v>172</v>
      </c>
      <c r="N7" s="140">
        <f>VLOOKUP($B7,'Zwischenrunde 16'!$B:$J,6,0)</f>
        <v>239</v>
      </c>
      <c r="O7" s="136">
        <f>VLOOKUP($B7,'Zwischenrunde 16'!$B:$J,7,0)</f>
        <v>204</v>
      </c>
      <c r="P7" s="136">
        <f>VLOOKUP($B7,'Zwischenrunde 16'!$B:$J,8,0)</f>
        <v>213</v>
      </c>
      <c r="Q7" s="142">
        <f>VLOOKUP($B7,'Zwischenrunde 16'!$B:$J,9,0)</f>
        <v>215</v>
      </c>
      <c r="R7" s="140">
        <f>VLOOKUP($B7,'Petersen-Rangliste'!$B$23:$M$38,6,0)</f>
        <v>201</v>
      </c>
      <c r="S7" s="136">
        <f>VLOOKUP($B7,'Petersen-Rangliste'!$B$23:$M$38,7,0)</f>
        <v>235</v>
      </c>
      <c r="T7" s="136">
        <f>VLOOKUP($B7,'Petersen-Rangliste'!$B$23:$M$38,8,0)</f>
        <v>237</v>
      </c>
      <c r="U7" s="136">
        <f>VLOOKUP($B7,'Petersen-Rangliste'!$B$23:$M$38,9,0)</f>
        <v>190</v>
      </c>
      <c r="V7" s="136">
        <f>VLOOKUP($B7,'Petersen-Rangliste'!$B$23:$M$38,10,0)</f>
        <v>166</v>
      </c>
      <c r="W7" s="136">
        <f>VLOOKUP($B7,'Petersen-Rangliste'!$B$23:$M$38,11,0)</f>
        <v>201</v>
      </c>
      <c r="X7" s="142">
        <f>VLOOKUP($B7,'Petersen-Rangliste'!$B$23:$M$38,12,0)</f>
        <v>190</v>
      </c>
      <c r="Y7" s="140">
        <f>SUM(F7:X7)</f>
        <v>3948</v>
      </c>
      <c r="Z7" s="136">
        <f>COUNT(F7:X7)</f>
        <v>19</v>
      </c>
      <c r="AA7" s="137">
        <f>Y7/Z7</f>
        <v>207.78947368421052</v>
      </c>
      <c r="AB7" s="135">
        <f>D7*Z7</f>
        <v>0</v>
      </c>
      <c r="AC7" s="135">
        <f>Y7+AB7</f>
        <v>3948</v>
      </c>
      <c r="AD7" s="145">
        <f>AD8</f>
        <v>7750</v>
      </c>
      <c r="AE7" s="16">
        <f>AD7/2</f>
        <v>3875</v>
      </c>
      <c r="AF7" s="321">
        <f>(Y6+Y7)/38</f>
        <v>205.60526315789474</v>
      </c>
      <c r="AI7" s="19"/>
    </row>
    <row r="8" spans="1:35" s="12" customFormat="1" ht="18" customHeight="1">
      <c r="A8" s="133">
        <v>3</v>
      </c>
      <c r="B8" s="134" t="s">
        <v>140</v>
      </c>
      <c r="C8" s="135" t="s">
        <v>125</v>
      </c>
      <c r="D8" s="135">
        <v>16</v>
      </c>
      <c r="E8" s="135"/>
      <c r="F8" s="136">
        <f>VLOOKUP($B8,Quali!$B:$N,6,0)</f>
        <v>181</v>
      </c>
      <c r="G8" s="136">
        <f>VLOOKUP($B8,Quali!$B:$N,7,0)</f>
        <v>199</v>
      </c>
      <c r="H8" s="136">
        <f>VLOOKUP($B8,Quali!$B:$N,8,0)</f>
        <v>209</v>
      </c>
      <c r="I8" s="136">
        <f>VLOOKUP($B8,Quali!$B:$N,9,0)</f>
        <v>191</v>
      </c>
      <c r="J8" s="136">
        <f>VLOOKUP($B8,Quali!$B:$N,10,0)</f>
        <v>192</v>
      </c>
      <c r="K8" s="136">
        <f>VLOOKUP($B8,Quali!$B:$N,11,0)</f>
        <v>195</v>
      </c>
      <c r="L8" s="136">
        <f>VLOOKUP($B8,Quali!$B:$N,12,0)</f>
        <v>201</v>
      </c>
      <c r="M8" s="142">
        <f>VLOOKUP($B8,Quali!$B:$N,13,0)</f>
        <v>182</v>
      </c>
      <c r="N8" s="140">
        <f>VLOOKUP($B8,'Zwischenrunde 16'!$B:$J,6,0)</f>
        <v>163</v>
      </c>
      <c r="O8" s="136">
        <f>VLOOKUP($B8,'Zwischenrunde 16'!$B:$J,7,0)</f>
        <v>181</v>
      </c>
      <c r="P8" s="136">
        <f>VLOOKUP($B8,'Zwischenrunde 16'!$B:$J,8,0)</f>
        <v>190</v>
      </c>
      <c r="Q8" s="142">
        <f>VLOOKUP($B8,'Zwischenrunde 16'!$B:$J,9,0)</f>
        <v>190</v>
      </c>
      <c r="R8" s="140">
        <f>VLOOKUP($B8,'Petersen-Rangliste'!$B$23:$M$38,6,0)</f>
        <v>220</v>
      </c>
      <c r="S8" s="136">
        <f>VLOOKUP($B8,'Petersen-Rangliste'!$B$23:$M$38,7,0)</f>
        <v>144</v>
      </c>
      <c r="T8" s="136">
        <f>VLOOKUP($B8,'Petersen-Rangliste'!$B$23:$M$38,8,0)</f>
        <v>181</v>
      </c>
      <c r="U8" s="136">
        <f>VLOOKUP($B8,'Petersen-Rangliste'!$B$23:$M$38,9,0)</f>
        <v>229</v>
      </c>
      <c r="V8" s="136">
        <f>VLOOKUP($B8,'Petersen-Rangliste'!$B$23:$M$38,10,0)</f>
        <v>132</v>
      </c>
      <c r="W8" s="136">
        <f>VLOOKUP($B8,'Petersen-Rangliste'!$B$23:$M$38,11,0)</f>
        <v>204</v>
      </c>
      <c r="X8" s="142">
        <f>VLOOKUP($B8,'Petersen-Rangliste'!$B$23:$M$38,12,0)</f>
        <v>190</v>
      </c>
      <c r="Y8" s="140">
        <f>SUM(F8:X8)</f>
        <v>3574</v>
      </c>
      <c r="Z8" s="136">
        <f>COUNT(F8:X8)</f>
        <v>19</v>
      </c>
      <c r="AA8" s="137">
        <f>Y8/Z8</f>
        <v>188.10526315789474</v>
      </c>
      <c r="AB8" s="135">
        <f>D8*Z8</f>
        <v>304</v>
      </c>
      <c r="AC8" s="135">
        <f>Y8+AB8</f>
        <v>3878</v>
      </c>
      <c r="AD8" s="145">
        <f>AD9</f>
        <v>7750</v>
      </c>
      <c r="AF8" s="321"/>
      <c r="AI8" s="19"/>
    </row>
    <row r="9" spans="1:35" s="12" customFormat="1" ht="18" customHeight="1">
      <c r="A9" s="133">
        <v>4</v>
      </c>
      <c r="B9" s="134" t="s">
        <v>141</v>
      </c>
      <c r="C9" s="135" t="s">
        <v>125</v>
      </c>
      <c r="D9" s="135">
        <v>12</v>
      </c>
      <c r="E9" s="135"/>
      <c r="F9" s="136">
        <f>VLOOKUP($B9,Quali!$B:$N,6,0)</f>
        <v>166</v>
      </c>
      <c r="G9" s="136">
        <f>VLOOKUP($B9,Quali!$B:$N,7,0)</f>
        <v>168</v>
      </c>
      <c r="H9" s="136">
        <f>VLOOKUP($B9,Quali!$B:$N,8,0)</f>
        <v>222</v>
      </c>
      <c r="I9" s="136">
        <f>VLOOKUP($B9,Quali!$B:$N,9,0)</f>
        <v>192</v>
      </c>
      <c r="J9" s="136">
        <f>VLOOKUP($B9,Quali!$B:$N,10,0)</f>
        <v>205</v>
      </c>
      <c r="K9" s="136">
        <f>VLOOKUP($B9,Quali!$B:$N,11,0)</f>
        <v>170</v>
      </c>
      <c r="L9" s="136">
        <f>VLOOKUP($B9,Quali!$B:$N,12,0)</f>
        <v>213</v>
      </c>
      <c r="M9" s="142">
        <f>VLOOKUP($B9,Quali!$B:$N,13,0)</f>
        <v>161</v>
      </c>
      <c r="N9" s="141">
        <f>VLOOKUP($B9,'Zwischenrunde 16'!$B:$J,6,0)</f>
        <v>200</v>
      </c>
      <c r="O9" s="135">
        <f>VLOOKUP($B9,'Zwischenrunde 16'!$B:$J,7,0)</f>
        <v>181</v>
      </c>
      <c r="P9" s="135">
        <f>VLOOKUP($B9,'Zwischenrunde 16'!$B:$J,8,0)</f>
        <v>250</v>
      </c>
      <c r="Q9" s="143">
        <f>VLOOKUP($B9,'Zwischenrunde 16'!$B:$J,9,0)</f>
        <v>237</v>
      </c>
      <c r="R9" s="141">
        <f>VLOOKUP($B9,'Petersen-Rangliste'!$B$23:$M$38,6,0)</f>
        <v>176</v>
      </c>
      <c r="S9" s="135">
        <f>VLOOKUP($B9,'Petersen-Rangliste'!$B$23:$M$38,7,0)</f>
        <v>189</v>
      </c>
      <c r="T9" s="135">
        <f>VLOOKUP($B9,'Petersen-Rangliste'!$B$23:$M$38,8,0)</f>
        <v>170</v>
      </c>
      <c r="U9" s="135">
        <f>VLOOKUP($B9,'Petersen-Rangliste'!$B$23:$M$38,9,0)</f>
        <v>207</v>
      </c>
      <c r="V9" s="135">
        <f>VLOOKUP($B9,'Petersen-Rangliste'!$B$23:$M$38,10,0)</f>
        <v>160</v>
      </c>
      <c r="W9" s="135">
        <f>VLOOKUP($B9,'Petersen-Rangliste'!$B$23:$M$38,11,0)</f>
        <v>196</v>
      </c>
      <c r="X9" s="143">
        <f>VLOOKUP($B9,'Petersen-Rangliste'!$B$23:$M$38,12,0)</f>
        <v>181</v>
      </c>
      <c r="Y9" s="141">
        <f>SUM(F9:X9)</f>
        <v>3644</v>
      </c>
      <c r="Z9" s="135">
        <f>COUNT(F9:X9)</f>
        <v>19</v>
      </c>
      <c r="AA9" s="137">
        <f>Y9/Z9</f>
        <v>191.78947368421052</v>
      </c>
      <c r="AB9" s="135">
        <f>D9*Z9</f>
        <v>228</v>
      </c>
      <c r="AC9" s="135">
        <f>Y9+AB9</f>
        <v>3872</v>
      </c>
      <c r="AD9" s="146">
        <f>SUM(AC8:AC9)</f>
        <v>7750</v>
      </c>
      <c r="AE9" s="16">
        <f>AD9/2</f>
        <v>3875</v>
      </c>
      <c r="AF9" s="321">
        <f>(Y8+Y9)/38</f>
        <v>189.94736842105263</v>
      </c>
      <c r="AI9" s="19"/>
    </row>
    <row r="10" spans="1:35" s="12" customFormat="1" ht="18" customHeight="1">
      <c r="A10" s="133">
        <v>1</v>
      </c>
      <c r="B10" s="134" t="s">
        <v>154</v>
      </c>
      <c r="C10" s="135" t="s">
        <v>125</v>
      </c>
      <c r="D10" s="135">
        <v>4</v>
      </c>
      <c r="E10" s="135"/>
      <c r="F10" s="136">
        <f>VLOOKUP($B10,Quali!$B:$N,6,0)</f>
        <v>204</v>
      </c>
      <c r="G10" s="136">
        <f>VLOOKUP($B10,Quali!$B:$N,7,0)</f>
        <v>214</v>
      </c>
      <c r="H10" s="136">
        <f>VLOOKUP($B10,Quali!$B:$N,8,0)</f>
        <v>234</v>
      </c>
      <c r="I10" s="136">
        <f>VLOOKUP($B10,Quali!$B:$N,9,0)</f>
        <v>213</v>
      </c>
      <c r="J10" s="136">
        <f>VLOOKUP($B10,Quali!$B:$N,10,0)</f>
        <v>189</v>
      </c>
      <c r="K10" s="136">
        <f>VLOOKUP($B10,Quali!$B:$N,11,0)</f>
        <v>278</v>
      </c>
      <c r="L10" s="136">
        <f>VLOOKUP($B10,Quali!$B:$N,12,0)</f>
        <v>194</v>
      </c>
      <c r="M10" s="142">
        <f>VLOOKUP($B10,Quali!$B:$N,13,0)</f>
        <v>232</v>
      </c>
      <c r="N10" s="140">
        <f>VLOOKUP($B10,'Zwischenrunde 16'!$B:$J,6,0)</f>
        <v>212</v>
      </c>
      <c r="O10" s="136">
        <f>VLOOKUP($B10,'Zwischenrunde 16'!$B:$J,7,0)</f>
        <v>201</v>
      </c>
      <c r="P10" s="136">
        <f>VLOOKUP($B10,'Zwischenrunde 16'!$B:$J,8,0)</f>
        <v>191</v>
      </c>
      <c r="Q10" s="142">
        <f>VLOOKUP($B10,'Zwischenrunde 16'!$B:$J,9,0)</f>
        <v>201</v>
      </c>
      <c r="R10" s="140">
        <f>VLOOKUP($B10,'Petersen-Rangliste'!$B$23:$M$38,6,0)</f>
        <v>201</v>
      </c>
      <c r="S10" s="136">
        <f>VLOOKUP($B10,'Petersen-Rangliste'!$B$23:$M$38,7,0)</f>
        <v>223</v>
      </c>
      <c r="T10" s="136">
        <f>VLOOKUP($B10,'Petersen-Rangliste'!$B$23:$M$38,8,0)</f>
        <v>205</v>
      </c>
      <c r="U10" s="136">
        <f>VLOOKUP($B10,'Petersen-Rangliste'!$B$23:$M$38,9,0)</f>
        <v>169</v>
      </c>
      <c r="V10" s="136">
        <f>VLOOKUP($B10,'Petersen-Rangliste'!$B$23:$M$38,10,0)</f>
        <v>173</v>
      </c>
      <c r="W10" s="136">
        <f>VLOOKUP($B10,'Petersen-Rangliste'!$B$23:$M$38,11,0)</f>
        <v>203</v>
      </c>
      <c r="X10" s="142">
        <f>VLOOKUP($B10,'Petersen-Rangliste'!$B$23:$M$38,12,0)</f>
        <v>170</v>
      </c>
      <c r="Y10" s="140">
        <f>SUM(F10:X10)</f>
        <v>3907</v>
      </c>
      <c r="Z10" s="136">
        <f>COUNT(F10:X10)</f>
        <v>19</v>
      </c>
      <c r="AA10" s="137">
        <f>Y10/Z10</f>
        <v>205.6315789473684</v>
      </c>
      <c r="AB10" s="135">
        <f>D10*Z10</f>
        <v>76</v>
      </c>
      <c r="AC10" s="135">
        <f>Y10+AB10</f>
        <v>3983</v>
      </c>
      <c r="AD10" s="145">
        <f>AD11</f>
        <v>7826</v>
      </c>
      <c r="AF10" s="321"/>
      <c r="AI10" s="19"/>
    </row>
    <row r="11" spans="1:35" s="12" customFormat="1" ht="18" customHeight="1">
      <c r="A11" s="133">
        <v>2</v>
      </c>
      <c r="B11" s="134" t="s">
        <v>155</v>
      </c>
      <c r="C11" s="135" t="s">
        <v>125</v>
      </c>
      <c r="D11" s="135">
        <v>17</v>
      </c>
      <c r="E11" s="135"/>
      <c r="F11" s="136">
        <f>VLOOKUP($B11,Quali!$B:$N,6,0)</f>
        <v>169</v>
      </c>
      <c r="G11" s="136">
        <f>VLOOKUP($B11,Quali!$B:$N,7,0)</f>
        <v>166</v>
      </c>
      <c r="H11" s="136">
        <f>VLOOKUP($B11,Quali!$B:$N,8,0)</f>
        <v>172</v>
      </c>
      <c r="I11" s="136">
        <f>VLOOKUP($B11,Quali!$B:$N,9,0)</f>
        <v>178</v>
      </c>
      <c r="J11" s="136">
        <f>VLOOKUP($B11,Quali!$B:$N,10,0)</f>
        <v>177</v>
      </c>
      <c r="K11" s="136">
        <f>VLOOKUP($B11,Quali!$B:$N,11,0)</f>
        <v>172</v>
      </c>
      <c r="L11" s="136">
        <f>VLOOKUP($B11,Quali!$B:$N,12,0)</f>
        <v>205</v>
      </c>
      <c r="M11" s="142">
        <f>VLOOKUP($B11,Quali!$B:$N,13,0)</f>
        <v>210</v>
      </c>
      <c r="N11" s="141">
        <f>VLOOKUP($B11,'Zwischenrunde 16'!$B:$J,6,0)</f>
        <v>191</v>
      </c>
      <c r="O11" s="135">
        <f>VLOOKUP($B11,'Zwischenrunde 16'!$B:$J,7,0)</f>
        <v>224</v>
      </c>
      <c r="P11" s="135">
        <f>VLOOKUP($B11,'Zwischenrunde 16'!$B:$J,8,0)</f>
        <v>195</v>
      </c>
      <c r="Q11" s="143">
        <f>VLOOKUP($B11,'Zwischenrunde 16'!$B:$J,9,0)</f>
        <v>163</v>
      </c>
      <c r="R11" s="141">
        <f>VLOOKUP($B11,'Petersen-Rangliste'!$B$23:$M$38,6,0)</f>
        <v>174</v>
      </c>
      <c r="S11" s="135">
        <f>VLOOKUP($B11,'Petersen-Rangliste'!$B$23:$M$38,7,0)</f>
        <v>257</v>
      </c>
      <c r="T11" s="135">
        <f>VLOOKUP($B11,'Petersen-Rangliste'!$B$23:$M$38,8,0)</f>
        <v>164</v>
      </c>
      <c r="U11" s="135">
        <f>VLOOKUP($B11,'Petersen-Rangliste'!$B$23:$M$38,9,0)</f>
        <v>150</v>
      </c>
      <c r="V11" s="135">
        <f>VLOOKUP($B11,'Petersen-Rangliste'!$B$23:$M$38,10,0)</f>
        <v>176</v>
      </c>
      <c r="W11" s="135">
        <f>VLOOKUP($B11,'Petersen-Rangliste'!$B$23:$M$38,11,0)</f>
        <v>185</v>
      </c>
      <c r="X11" s="143">
        <f>VLOOKUP($B11,'Petersen-Rangliste'!$B$23:$M$38,12,0)</f>
        <v>192</v>
      </c>
      <c r="Y11" s="141">
        <f>SUM(F11:X11)</f>
        <v>3520</v>
      </c>
      <c r="Z11" s="135">
        <f>COUNT(F11:X11)</f>
        <v>19</v>
      </c>
      <c r="AA11" s="137">
        <f>Y11/Z11</f>
        <v>185.26315789473685</v>
      </c>
      <c r="AB11" s="135">
        <f>D11*Z11</f>
        <v>323</v>
      </c>
      <c r="AC11" s="135">
        <f>Y11+AB11</f>
        <v>3843</v>
      </c>
      <c r="AD11" s="146">
        <f>SUM(AC10:AC11)</f>
        <v>7826</v>
      </c>
      <c r="AE11" s="16">
        <f>AD11/2</f>
        <v>3913</v>
      </c>
      <c r="AF11" s="321">
        <f>(Y10+Y11)/38</f>
        <v>195.44736842105263</v>
      </c>
      <c r="AI11" s="19"/>
    </row>
    <row r="12" spans="1:35" s="12" customFormat="1" ht="18" customHeight="1">
      <c r="A12" s="133">
        <v>5</v>
      </c>
      <c r="B12" s="134" t="s">
        <v>159</v>
      </c>
      <c r="C12" s="135" t="s">
        <v>125</v>
      </c>
      <c r="D12" s="135">
        <v>14</v>
      </c>
      <c r="E12" s="135"/>
      <c r="F12" s="136">
        <f>VLOOKUP($B12,Quali!$B:$N,6,0)</f>
        <v>146</v>
      </c>
      <c r="G12" s="136">
        <f>VLOOKUP($B12,Quali!$B:$N,7,0)</f>
        <v>190</v>
      </c>
      <c r="H12" s="136">
        <f>VLOOKUP($B12,Quali!$B:$N,8,0)</f>
        <v>195</v>
      </c>
      <c r="I12" s="136">
        <f>VLOOKUP($B12,Quali!$B:$N,9,0)</f>
        <v>167</v>
      </c>
      <c r="J12" s="136">
        <f>VLOOKUP($B12,Quali!$B:$N,10,0)</f>
        <v>139</v>
      </c>
      <c r="K12" s="136">
        <f>VLOOKUP($B12,Quali!$B:$N,11,0)</f>
        <v>255</v>
      </c>
      <c r="L12" s="136">
        <f>VLOOKUP($B12,Quali!$B:$N,12,0)</f>
        <v>212</v>
      </c>
      <c r="M12" s="142">
        <f>VLOOKUP($B12,Quali!$B:$N,13,0)</f>
        <v>168</v>
      </c>
      <c r="N12" s="141">
        <f>VLOOKUP($B12,'Zwischenrunde 16'!$B:$J,6,0)</f>
        <v>168</v>
      </c>
      <c r="O12" s="135">
        <f>VLOOKUP($B12,'Zwischenrunde 16'!$B:$J,7,0)</f>
        <v>178</v>
      </c>
      <c r="P12" s="135">
        <f>VLOOKUP($B12,'Zwischenrunde 16'!$B:$J,8,0)</f>
        <v>201</v>
      </c>
      <c r="Q12" s="143">
        <f>VLOOKUP($B12,'Zwischenrunde 16'!$B:$J,9,0)</f>
        <v>188</v>
      </c>
      <c r="R12" s="141"/>
      <c r="S12" s="135"/>
      <c r="T12" s="135"/>
      <c r="U12" s="135"/>
      <c r="V12" s="135"/>
      <c r="W12" s="135"/>
      <c r="X12" s="143"/>
      <c r="Y12" s="141">
        <f>SUM(F12:X12)</f>
        <v>2207</v>
      </c>
      <c r="Z12" s="135">
        <f>COUNT(F12:X12)</f>
        <v>12</v>
      </c>
      <c r="AA12" s="137">
        <f>Y12/Z12</f>
        <v>183.91666666666666</v>
      </c>
      <c r="AB12" s="135">
        <f>D12*Z12</f>
        <v>168</v>
      </c>
      <c r="AC12" s="135">
        <f>Y12+AB12</f>
        <v>2375</v>
      </c>
      <c r="AD12" s="146">
        <f>SUM(AC11:AC12)</f>
        <v>6218</v>
      </c>
      <c r="AF12" s="321"/>
      <c r="AI12" s="19"/>
    </row>
    <row r="13" spans="1:35" s="12" customFormat="1" ht="18" customHeight="1">
      <c r="A13" s="133">
        <v>6</v>
      </c>
      <c r="B13" s="134" t="s">
        <v>183</v>
      </c>
      <c r="C13" s="135" t="s">
        <v>125</v>
      </c>
      <c r="D13" s="135">
        <v>5</v>
      </c>
      <c r="E13" s="135"/>
      <c r="F13" s="136">
        <f>VLOOKUP($B13,Quali!$B:$N,6,0)</f>
        <v>210</v>
      </c>
      <c r="G13" s="136">
        <f>VLOOKUP($B13,Quali!$B:$N,7,0)</f>
        <v>203</v>
      </c>
      <c r="H13" s="136">
        <f>VLOOKUP($B13,Quali!$B:$N,8,0)</f>
        <v>225</v>
      </c>
      <c r="I13" s="136">
        <f>VLOOKUP($B13,Quali!$B:$N,9,0)</f>
        <v>156</v>
      </c>
      <c r="J13" s="136">
        <f>VLOOKUP($B13,Quali!$B:$N,10,0)</f>
        <v>208</v>
      </c>
      <c r="K13" s="136">
        <f>VLOOKUP($B13,Quali!$B:$N,11,0)</f>
        <v>214</v>
      </c>
      <c r="L13" s="136">
        <f>VLOOKUP($B13,Quali!$B:$N,12,0)</f>
        <v>177</v>
      </c>
      <c r="M13" s="142">
        <f>VLOOKUP($B13,Quali!$B:$N,13,0)</f>
        <v>215</v>
      </c>
      <c r="N13" s="140">
        <f>VLOOKUP($B13,'Zwischenrunde 16'!$B:$J,6,0)</f>
        <v>170</v>
      </c>
      <c r="O13" s="136">
        <f>VLOOKUP($B13,'Zwischenrunde 16'!$B:$J,7,0)</f>
        <v>189</v>
      </c>
      <c r="P13" s="136">
        <f>VLOOKUP($B13,'Zwischenrunde 16'!$B:$J,8,0)</f>
        <v>233</v>
      </c>
      <c r="Q13" s="142">
        <f>VLOOKUP($B13,'Zwischenrunde 16'!$B:$J,9,0)</f>
        <v>170</v>
      </c>
      <c r="R13" s="140"/>
      <c r="S13" s="136"/>
      <c r="T13" s="136"/>
      <c r="U13" s="136"/>
      <c r="V13" s="136"/>
      <c r="W13" s="136"/>
      <c r="X13" s="142"/>
      <c r="Y13" s="140">
        <f>SUM(F13:X13)</f>
        <v>2370</v>
      </c>
      <c r="Z13" s="136">
        <f>COUNT(F13:X13)</f>
        <v>12</v>
      </c>
      <c r="AA13" s="137">
        <f>Y13/Z13</f>
        <v>197.5</v>
      </c>
      <c r="AB13" s="135">
        <f>D13*Z13</f>
        <v>60</v>
      </c>
      <c r="AC13" s="135">
        <f>Y13+AB13</f>
        <v>2430</v>
      </c>
      <c r="AD13" s="145">
        <f>AD14</f>
        <v>4815</v>
      </c>
      <c r="AE13" s="16">
        <f>AD13/2</f>
        <v>2407.5</v>
      </c>
      <c r="AF13" s="321">
        <f>(Y12+Y13)/38</f>
        <v>120.44736842105263</v>
      </c>
      <c r="AI13" s="19"/>
    </row>
    <row r="14" spans="1:35" s="12" customFormat="1" ht="18" customHeight="1">
      <c r="A14" s="133">
        <v>17</v>
      </c>
      <c r="B14" s="138" t="s">
        <v>184</v>
      </c>
      <c r="C14" s="135" t="s">
        <v>125</v>
      </c>
      <c r="D14" s="135">
        <v>2</v>
      </c>
      <c r="E14" s="135"/>
      <c r="F14" s="136">
        <f>VLOOKUP($B14,Quali!$B:$N,6,0)</f>
        <v>166</v>
      </c>
      <c r="G14" s="136">
        <f>VLOOKUP($B14,Quali!$B:$N,7,0)</f>
        <v>222</v>
      </c>
      <c r="H14" s="136">
        <f>VLOOKUP($B14,Quali!$B:$N,8,0)</f>
        <v>253</v>
      </c>
      <c r="I14" s="136">
        <f>VLOOKUP($B14,Quali!$B:$N,9,0)</f>
        <v>191</v>
      </c>
      <c r="J14" s="136">
        <f>VLOOKUP($B14,Quali!$B:$N,10,0)</f>
        <v>200</v>
      </c>
      <c r="K14" s="136">
        <f>VLOOKUP($B14,Quali!$B:$N,11,0)</f>
        <v>242</v>
      </c>
      <c r="L14" s="136">
        <f>VLOOKUP($B14,Quali!$B:$N,12,0)</f>
        <v>204</v>
      </c>
      <c r="M14" s="142">
        <f>VLOOKUP($B14,Quali!$B:$N,13,0)</f>
        <v>185</v>
      </c>
      <c r="N14" s="141">
        <f>VLOOKUP($B14,'Zwischenrunde 16'!$B:$J,6,0)</f>
        <v>173</v>
      </c>
      <c r="O14" s="135">
        <f>VLOOKUP($B14,'Zwischenrunde 16'!$B:$J,7,0)</f>
        <v>148</v>
      </c>
      <c r="P14" s="135">
        <f>VLOOKUP($B14,'Zwischenrunde 16'!$B:$J,8,0)</f>
        <v>186</v>
      </c>
      <c r="Q14" s="143">
        <f>VLOOKUP($B14,'Zwischenrunde 16'!$B:$J,9,0)</f>
        <v>191</v>
      </c>
      <c r="R14" s="141"/>
      <c r="S14" s="135"/>
      <c r="T14" s="135"/>
      <c r="U14" s="135"/>
      <c r="V14" s="135"/>
      <c r="W14" s="135"/>
      <c r="X14" s="143"/>
      <c r="Y14" s="141">
        <f>SUM(F14:X14)</f>
        <v>2361</v>
      </c>
      <c r="Z14" s="135">
        <f>COUNT(F14:X14)</f>
        <v>12</v>
      </c>
      <c r="AA14" s="137">
        <f>Y14/Z14</f>
        <v>196.75</v>
      </c>
      <c r="AB14" s="135">
        <f>D14*Z14</f>
        <v>24</v>
      </c>
      <c r="AC14" s="135">
        <f>Y14+AB14</f>
        <v>2385</v>
      </c>
      <c r="AD14" s="146">
        <f>SUM(AC13:AC14)</f>
        <v>4815</v>
      </c>
      <c r="AF14" s="321"/>
      <c r="AI14" s="19"/>
    </row>
    <row r="15" spans="1:35" s="12" customFormat="1" ht="18" customHeight="1">
      <c r="A15" s="133">
        <v>18</v>
      </c>
      <c r="B15" s="134" t="s">
        <v>165</v>
      </c>
      <c r="C15" s="135" t="s">
        <v>125</v>
      </c>
      <c r="D15" s="135">
        <v>4</v>
      </c>
      <c r="E15" s="135"/>
      <c r="F15" s="136">
        <f>VLOOKUP($B15,Quali!$B:$N,6,0)</f>
        <v>205</v>
      </c>
      <c r="G15" s="136">
        <f>VLOOKUP($B15,Quali!$B:$N,7,0)</f>
        <v>203</v>
      </c>
      <c r="H15" s="136">
        <f>VLOOKUP($B15,Quali!$B:$N,8,0)</f>
        <v>230</v>
      </c>
      <c r="I15" s="136">
        <f>VLOOKUP($B15,Quali!$B:$N,9,0)</f>
        <v>150</v>
      </c>
      <c r="J15" s="136">
        <f>VLOOKUP($B15,Quali!$B:$N,10,0)</f>
        <v>186</v>
      </c>
      <c r="K15" s="136">
        <f>VLOOKUP($B15,Quali!$B:$N,11,0)</f>
        <v>206</v>
      </c>
      <c r="L15" s="136">
        <f>VLOOKUP($B15,Quali!$B:$N,12,0)</f>
        <v>204</v>
      </c>
      <c r="M15" s="142">
        <f>VLOOKUP($B15,Quali!$B:$N,13,0)</f>
        <v>201</v>
      </c>
      <c r="N15" s="140"/>
      <c r="O15" s="136"/>
      <c r="P15" s="136"/>
      <c r="Q15" s="142"/>
      <c r="R15" s="140"/>
      <c r="S15" s="136"/>
      <c r="T15" s="136"/>
      <c r="U15" s="136"/>
      <c r="V15" s="136"/>
      <c r="W15" s="136"/>
      <c r="X15" s="142"/>
      <c r="Y15" s="141">
        <f>SUM(F15:X15)</f>
        <v>1585</v>
      </c>
      <c r="Z15" s="135">
        <f>COUNT(F15:X15)</f>
        <v>8</v>
      </c>
      <c r="AA15" s="137">
        <f>Y15/Z15</f>
        <v>198.125</v>
      </c>
      <c r="AB15" s="135">
        <f>D15*Z15</f>
        <v>32</v>
      </c>
      <c r="AC15" s="135">
        <f>Y15+AB15</f>
        <v>1617</v>
      </c>
      <c r="AD15" s="147">
        <f>SUM(AC14:AC15)</f>
        <v>4002</v>
      </c>
      <c r="AE15" s="16">
        <f>AD15/2</f>
        <v>2001</v>
      </c>
      <c r="AF15" s="321">
        <f>(Y14+Y15)/38</f>
        <v>103.84210526315789</v>
      </c>
      <c r="AI15" s="19"/>
    </row>
    <row r="16" spans="1:35" s="12" customFormat="1" ht="18" customHeight="1">
      <c r="A16" s="133">
        <v>11</v>
      </c>
      <c r="B16" s="134" t="s">
        <v>152</v>
      </c>
      <c r="C16" s="135" t="s">
        <v>125</v>
      </c>
      <c r="D16" s="135">
        <v>23</v>
      </c>
      <c r="E16" s="135"/>
      <c r="F16" s="136">
        <f>VLOOKUP($B16,Quali!$B:$N,6,0)</f>
        <v>173</v>
      </c>
      <c r="G16" s="136">
        <f>VLOOKUP($B16,Quali!$B:$N,7,0)</f>
        <v>175</v>
      </c>
      <c r="H16" s="136">
        <f>VLOOKUP($B16,Quali!$B:$N,8,0)</f>
        <v>138</v>
      </c>
      <c r="I16" s="136">
        <f>VLOOKUP($B16,Quali!$B:$N,9,0)</f>
        <v>214</v>
      </c>
      <c r="J16" s="136">
        <f>VLOOKUP($B16,Quali!$B:$N,10,0)</f>
        <v>146</v>
      </c>
      <c r="K16" s="136">
        <f>VLOOKUP($B16,Quali!$B:$N,11,0)</f>
        <v>149</v>
      </c>
      <c r="L16" s="136">
        <f>VLOOKUP($B16,Quali!$B:$N,12,0)</f>
        <v>176</v>
      </c>
      <c r="M16" s="142">
        <f>VLOOKUP($B16,Quali!$B:$N,13,0)</f>
        <v>132</v>
      </c>
      <c r="N16" s="140"/>
      <c r="O16" s="136"/>
      <c r="P16" s="136"/>
      <c r="Q16" s="142"/>
      <c r="R16" s="140"/>
      <c r="S16" s="136"/>
      <c r="T16" s="136"/>
      <c r="U16" s="136"/>
      <c r="V16" s="136"/>
      <c r="W16" s="136"/>
      <c r="X16" s="142"/>
      <c r="Y16" s="140">
        <f>SUM(F16:X16)</f>
        <v>1303</v>
      </c>
      <c r="Z16" s="136">
        <f>COUNT(F16:X16)</f>
        <v>8</v>
      </c>
      <c r="AA16" s="137">
        <f>Y16/Z16</f>
        <v>162.875</v>
      </c>
      <c r="AB16" s="135">
        <f>D16*Z16</f>
        <v>184</v>
      </c>
      <c r="AC16" s="135">
        <f>Y16+AB16</f>
        <v>1487</v>
      </c>
      <c r="AD16" s="145">
        <f>AD17</f>
        <v>3103</v>
      </c>
      <c r="AF16" s="321"/>
      <c r="AI16" s="19"/>
    </row>
    <row r="17" spans="1:35" s="12" customFormat="1" ht="18" customHeight="1">
      <c r="A17" s="133">
        <v>12</v>
      </c>
      <c r="B17" s="134" t="s">
        <v>153</v>
      </c>
      <c r="C17" s="135" t="s">
        <v>125</v>
      </c>
      <c r="D17" s="135">
        <v>21</v>
      </c>
      <c r="E17" s="135"/>
      <c r="F17" s="136">
        <f>VLOOKUP($B17,Quali!$B:$N,6,0)</f>
        <v>192</v>
      </c>
      <c r="G17" s="136">
        <f>VLOOKUP($B17,Quali!$B:$N,7,0)</f>
        <v>222</v>
      </c>
      <c r="H17" s="136">
        <f>VLOOKUP($B17,Quali!$B:$N,8,0)</f>
        <v>165</v>
      </c>
      <c r="I17" s="136">
        <f>VLOOKUP($B17,Quali!$B:$N,9,0)</f>
        <v>168</v>
      </c>
      <c r="J17" s="136">
        <f>VLOOKUP($B17,Quali!$B:$N,10,0)</f>
        <v>168</v>
      </c>
      <c r="K17" s="136">
        <f>VLOOKUP($B17,Quali!$B:$N,11,0)</f>
        <v>149</v>
      </c>
      <c r="L17" s="136">
        <f>VLOOKUP($B17,Quali!$B:$N,12,0)</f>
        <v>214</v>
      </c>
      <c r="M17" s="142">
        <f>VLOOKUP($B17,Quali!$B:$N,13,0)</f>
        <v>170</v>
      </c>
      <c r="N17" s="140"/>
      <c r="O17" s="136"/>
      <c r="P17" s="136"/>
      <c r="Q17" s="142"/>
      <c r="R17" s="140"/>
      <c r="S17" s="136"/>
      <c r="T17" s="136"/>
      <c r="U17" s="136"/>
      <c r="V17" s="136"/>
      <c r="W17" s="136"/>
      <c r="X17" s="142"/>
      <c r="Y17" s="141">
        <f>SUM(F17:X17)</f>
        <v>1448</v>
      </c>
      <c r="Z17" s="135">
        <f>COUNT(F17:X17)</f>
        <v>8</v>
      </c>
      <c r="AA17" s="137">
        <f>Y17/Z17</f>
        <v>181</v>
      </c>
      <c r="AB17" s="135">
        <f>D17*Z17</f>
        <v>168</v>
      </c>
      <c r="AC17" s="135">
        <f>Y17+AB17</f>
        <v>1616</v>
      </c>
      <c r="AD17" s="147">
        <f>SUM(AC16:AC17)</f>
        <v>3103</v>
      </c>
      <c r="AE17" s="16">
        <f>AD17/2</f>
        <v>1551.5</v>
      </c>
      <c r="AF17" s="321">
        <f>(Y16+Y17)/38</f>
        <v>72.39473684210526</v>
      </c>
      <c r="AI17" s="19"/>
    </row>
    <row r="18" spans="1:35" s="12" customFormat="1" ht="18" customHeight="1">
      <c r="A18" s="133">
        <v>13</v>
      </c>
      <c r="B18" s="134" t="s">
        <v>188</v>
      </c>
      <c r="C18" s="135" t="s">
        <v>125</v>
      </c>
      <c r="D18" s="135">
        <v>20</v>
      </c>
      <c r="E18" s="135"/>
      <c r="F18" s="136">
        <f>VLOOKUP($B18,Quali!$B:$N,6,0)</f>
        <v>182</v>
      </c>
      <c r="G18" s="136">
        <f>VLOOKUP($B18,Quali!$B:$N,7,0)</f>
        <v>148</v>
      </c>
      <c r="H18" s="136">
        <f>VLOOKUP($B18,Quali!$B:$N,8,0)</f>
        <v>186</v>
      </c>
      <c r="I18" s="136">
        <f>VLOOKUP($B18,Quali!$B:$N,9,0)</f>
        <v>200</v>
      </c>
      <c r="J18" s="136">
        <f>VLOOKUP($B18,Quali!$B:$N,10,0)</f>
        <v>172</v>
      </c>
      <c r="K18" s="136">
        <f>VLOOKUP($B18,Quali!$B:$N,11,0)</f>
        <v>160</v>
      </c>
      <c r="L18" s="136">
        <f>VLOOKUP($B18,Quali!$B:$N,12,0)</f>
        <v>180</v>
      </c>
      <c r="M18" s="142">
        <f>VLOOKUP($B18,Quali!$B:$N,13,0)</f>
        <v>181</v>
      </c>
      <c r="N18" s="140"/>
      <c r="O18" s="136"/>
      <c r="P18" s="136"/>
      <c r="Q18" s="142"/>
      <c r="R18" s="140"/>
      <c r="S18" s="136"/>
      <c r="T18" s="136"/>
      <c r="U18" s="136"/>
      <c r="V18" s="136"/>
      <c r="W18" s="136"/>
      <c r="X18" s="142"/>
      <c r="Y18" s="140">
        <f>SUM(F18:X18)</f>
        <v>1409</v>
      </c>
      <c r="Z18" s="136">
        <f>COUNT(F18:X18)</f>
        <v>8</v>
      </c>
      <c r="AA18" s="137">
        <f>Y18/Z18</f>
        <v>176.125</v>
      </c>
      <c r="AB18" s="135">
        <f>D18*Z18</f>
        <v>160</v>
      </c>
      <c r="AC18" s="135">
        <f>Y18+AB18</f>
        <v>1569</v>
      </c>
      <c r="AD18" s="145">
        <f>AD19</f>
        <v>3096</v>
      </c>
      <c r="AF18" s="321"/>
      <c r="AI18" s="19"/>
    </row>
    <row r="19" spans="1:35" s="12" customFormat="1" ht="18" customHeight="1" thickBot="1">
      <c r="A19" s="149">
        <v>14</v>
      </c>
      <c r="B19" s="150" t="s">
        <v>156</v>
      </c>
      <c r="C19" s="151" t="s">
        <v>125</v>
      </c>
      <c r="D19" s="151">
        <v>15</v>
      </c>
      <c r="E19" s="151"/>
      <c r="F19" s="152">
        <f>VLOOKUP($B19,Quali!$B:$N,6,0)</f>
        <v>180</v>
      </c>
      <c r="G19" s="152">
        <f>VLOOKUP($B19,Quali!$B:$N,7,0)</f>
        <v>155</v>
      </c>
      <c r="H19" s="152">
        <f>VLOOKUP($B19,Quali!$B:$N,8,0)</f>
        <v>210</v>
      </c>
      <c r="I19" s="152">
        <f>VLOOKUP($B19,Quali!$B:$N,9,0)</f>
        <v>172</v>
      </c>
      <c r="J19" s="152">
        <f>VLOOKUP($B19,Quali!$B:$N,10,0)</f>
        <v>185</v>
      </c>
      <c r="K19" s="152">
        <f>VLOOKUP($B19,Quali!$B:$N,11,0)</f>
        <v>170</v>
      </c>
      <c r="L19" s="152">
        <f>VLOOKUP($B19,Quali!$B:$N,12,0)</f>
        <v>147</v>
      </c>
      <c r="M19" s="153">
        <f>VLOOKUP($B19,Quali!$B:$N,13,0)</f>
        <v>188</v>
      </c>
      <c r="N19" s="154"/>
      <c r="O19" s="152"/>
      <c r="P19" s="152"/>
      <c r="Q19" s="153"/>
      <c r="R19" s="154"/>
      <c r="S19" s="152"/>
      <c r="T19" s="152"/>
      <c r="U19" s="152"/>
      <c r="V19" s="152"/>
      <c r="W19" s="152"/>
      <c r="X19" s="153"/>
      <c r="Y19" s="168">
        <f>SUM(F19:X19)</f>
        <v>1407</v>
      </c>
      <c r="Z19" s="151">
        <f>COUNT(F19:X19)</f>
        <v>8</v>
      </c>
      <c r="AA19" s="155">
        <f>Y19/Z19</f>
        <v>175.875</v>
      </c>
      <c r="AB19" s="151">
        <f>D19*Z19</f>
        <v>120</v>
      </c>
      <c r="AC19" s="151">
        <f>Y19+AB19</f>
        <v>1527</v>
      </c>
      <c r="AD19" s="156">
        <f>SUM(AC18:AC19)</f>
        <v>3096</v>
      </c>
      <c r="AE19" s="16">
        <f>AD19/2</f>
        <v>1548</v>
      </c>
      <c r="AF19" s="321">
        <f>(Y18+Y19)/38</f>
        <v>74.10526315789474</v>
      </c>
      <c r="AI19" s="19"/>
    </row>
    <row r="20" spans="1:35" s="12" customFormat="1" ht="18" customHeight="1">
      <c r="A20" s="158">
        <v>9</v>
      </c>
      <c r="B20" s="159" t="s">
        <v>150</v>
      </c>
      <c r="C20" s="160" t="s">
        <v>133</v>
      </c>
      <c r="D20" s="160">
        <v>2</v>
      </c>
      <c r="E20" s="160"/>
      <c r="F20" s="161">
        <f>VLOOKUP($B20,Quali!$B:$N,6,0)</f>
        <v>257</v>
      </c>
      <c r="G20" s="161">
        <f>VLOOKUP($B20,Quali!$B:$N,7,0)</f>
        <v>187</v>
      </c>
      <c r="H20" s="161">
        <f>VLOOKUP($B20,Quali!$B:$N,8,0)</f>
        <v>233</v>
      </c>
      <c r="I20" s="161">
        <f>VLOOKUP($B20,Quali!$B:$N,9,0)</f>
        <v>226</v>
      </c>
      <c r="J20" s="161">
        <f>VLOOKUP($B20,Quali!$B:$N,10,0)</f>
        <v>245</v>
      </c>
      <c r="K20" s="161">
        <f>VLOOKUP($B20,Quali!$B:$N,11,0)</f>
        <v>247</v>
      </c>
      <c r="L20" s="161">
        <f>VLOOKUP($B20,Quali!$B:$N,12,0)</f>
        <v>211</v>
      </c>
      <c r="M20" s="162">
        <f>VLOOKUP($B20,Quali!$B:$N,13,0)</f>
        <v>222</v>
      </c>
      <c r="N20" s="163">
        <f>VLOOKUP($B20,'Zwischenrunde 16'!$B:$J,6,0)</f>
        <v>211</v>
      </c>
      <c r="O20" s="161">
        <f>VLOOKUP($B20,'Zwischenrunde 16'!$B:$J,7,0)</f>
        <v>233</v>
      </c>
      <c r="P20" s="161">
        <f>VLOOKUP($B20,'Zwischenrunde 16'!$B:$J,8,0)</f>
        <v>268</v>
      </c>
      <c r="Q20" s="162">
        <f>VLOOKUP($B20,'Zwischenrunde 16'!$B:$J,9,0)</f>
        <v>230</v>
      </c>
      <c r="R20" s="163">
        <f>VLOOKUP($B20,'Petersen-Rangliste'!$B$23:$M$38,6,0)</f>
        <v>162</v>
      </c>
      <c r="S20" s="161">
        <f>VLOOKUP($B20,'Petersen-Rangliste'!$B$23:$M$38,7,0)</f>
        <v>237</v>
      </c>
      <c r="T20" s="161">
        <f>VLOOKUP($B20,'Petersen-Rangliste'!$B$23:$M$38,8,0)</f>
        <v>268</v>
      </c>
      <c r="U20" s="161">
        <f>VLOOKUP($B20,'Petersen-Rangliste'!$B$23:$M$38,9,0)</f>
        <v>201</v>
      </c>
      <c r="V20" s="161">
        <f>VLOOKUP($B20,'Petersen-Rangliste'!$B$23:$M$38,10,0)</f>
        <v>224</v>
      </c>
      <c r="W20" s="161">
        <f>VLOOKUP($B20,'Petersen-Rangliste'!$B$23:$M$38,11,0)</f>
        <v>192</v>
      </c>
      <c r="X20" s="161">
        <f>VLOOKUP($B20,'Petersen-Rangliste'!$B$23:$M$38,12,0)</f>
        <v>187</v>
      </c>
      <c r="Y20" s="161">
        <f>SUM(F20:X20)</f>
        <v>4241</v>
      </c>
      <c r="Z20" s="161">
        <f>COUNT(F20:X20)</f>
        <v>19</v>
      </c>
      <c r="AA20" s="166">
        <f>Y20/Z20</f>
        <v>223.21052631578948</v>
      </c>
      <c r="AB20" s="160">
        <f>D20*Z20</f>
        <v>38</v>
      </c>
      <c r="AC20" s="160">
        <f>Y20+AB20</f>
        <v>4279</v>
      </c>
      <c r="AD20" s="167">
        <f>AD21</f>
        <v>8254</v>
      </c>
      <c r="AI20" s="19"/>
    </row>
    <row r="21" spans="1:35" s="12" customFormat="1" ht="18" customHeight="1">
      <c r="A21" s="133">
        <v>10</v>
      </c>
      <c r="B21" s="134" t="s">
        <v>151</v>
      </c>
      <c r="C21" s="135" t="s">
        <v>133</v>
      </c>
      <c r="D21" s="135">
        <v>1</v>
      </c>
      <c r="E21" s="135"/>
      <c r="F21" s="136">
        <f>VLOOKUP($B21,Quali!$B:$N,6,0)</f>
        <v>192</v>
      </c>
      <c r="G21" s="136">
        <f>VLOOKUP($B21,Quali!$B:$N,7,0)</f>
        <v>192</v>
      </c>
      <c r="H21" s="136">
        <f>VLOOKUP($B21,Quali!$B:$N,8,0)</f>
        <v>170</v>
      </c>
      <c r="I21" s="136">
        <f>VLOOKUP($B21,Quali!$B:$N,9,0)</f>
        <v>208</v>
      </c>
      <c r="J21" s="136">
        <f>VLOOKUP($B21,Quali!$B:$N,10,0)</f>
        <v>225</v>
      </c>
      <c r="K21" s="136">
        <f>VLOOKUP($B21,Quali!$B:$N,11,0)</f>
        <v>181</v>
      </c>
      <c r="L21" s="136">
        <f>VLOOKUP($B21,Quali!$B:$N,12,0)</f>
        <v>253</v>
      </c>
      <c r="M21" s="142">
        <f>VLOOKUP($B21,Quali!$B:$N,13,0)</f>
        <v>245</v>
      </c>
      <c r="N21" s="141">
        <f>VLOOKUP($B21,'Zwischenrunde 16'!$B:$J,6,0)</f>
        <v>201</v>
      </c>
      <c r="O21" s="135">
        <f>VLOOKUP($B21,'Zwischenrunde 16'!$B:$J,7,0)</f>
        <v>193</v>
      </c>
      <c r="P21" s="135">
        <f>VLOOKUP($B21,'Zwischenrunde 16'!$B:$J,8,0)</f>
        <v>194</v>
      </c>
      <c r="Q21" s="143">
        <f>VLOOKUP($B21,'Zwischenrunde 16'!$B:$J,9,0)</f>
        <v>216</v>
      </c>
      <c r="R21" s="141">
        <f>VLOOKUP($B21,'Petersen-Rangliste'!$B$23:$M$38,6,0)</f>
        <v>177</v>
      </c>
      <c r="S21" s="135">
        <f>VLOOKUP($B21,'Petersen-Rangliste'!$B$23:$M$38,7,0)</f>
        <v>205</v>
      </c>
      <c r="T21" s="135">
        <f>VLOOKUP($B21,'Petersen-Rangliste'!$B$23:$M$38,8,0)</f>
        <v>259</v>
      </c>
      <c r="U21" s="135">
        <f>VLOOKUP($B21,'Petersen-Rangliste'!$B$23:$M$38,9,0)</f>
        <v>169</v>
      </c>
      <c r="V21" s="135">
        <f>VLOOKUP($B21,'Petersen-Rangliste'!$B$23:$M$38,10,0)</f>
        <v>215</v>
      </c>
      <c r="W21" s="135">
        <f>VLOOKUP($B21,'Petersen-Rangliste'!$B$23:$M$38,11,0)</f>
        <v>258</v>
      </c>
      <c r="X21" s="135">
        <f>VLOOKUP($B21,'Petersen-Rangliste'!$B$23:$M$38,12,0)</f>
        <v>203</v>
      </c>
      <c r="Y21" s="135">
        <f>SUM(F21:X21)</f>
        <v>3956</v>
      </c>
      <c r="Z21" s="135">
        <f>COUNT(F21:X21)</f>
        <v>19</v>
      </c>
      <c r="AA21" s="137">
        <f>Y21/Z21</f>
        <v>208.21052631578948</v>
      </c>
      <c r="AB21" s="135">
        <f>D21*Z21</f>
        <v>19</v>
      </c>
      <c r="AC21" s="135">
        <f>Y21+AB21</f>
        <v>3975</v>
      </c>
      <c r="AD21" s="146">
        <f>SUM(AC20:AC21)</f>
        <v>8254</v>
      </c>
      <c r="AE21" s="16">
        <f>AD21/2</f>
        <v>4127</v>
      </c>
      <c r="AF21" s="321">
        <f>(Y20+Y21)/24</f>
        <v>341.5416666666667</v>
      </c>
      <c r="AI21" s="19"/>
    </row>
    <row r="22" spans="1:35" s="12" customFormat="1" ht="18" customHeight="1">
      <c r="A22" s="133">
        <v>7</v>
      </c>
      <c r="B22" s="138" t="s">
        <v>137</v>
      </c>
      <c r="C22" s="135" t="s">
        <v>133</v>
      </c>
      <c r="D22" s="135">
        <v>1</v>
      </c>
      <c r="E22" s="135"/>
      <c r="F22" s="136">
        <f>VLOOKUP($B22,Quali!$B:$N,6,0)</f>
        <v>153</v>
      </c>
      <c r="G22" s="136">
        <f>VLOOKUP($B22,Quali!$B:$N,7,0)</f>
        <v>233</v>
      </c>
      <c r="H22" s="136">
        <f>VLOOKUP($B22,Quali!$B:$N,8,0)</f>
        <v>147</v>
      </c>
      <c r="I22" s="136">
        <f>VLOOKUP($B22,Quali!$B:$N,9,0)</f>
        <v>244</v>
      </c>
      <c r="J22" s="136">
        <f>VLOOKUP($B22,Quali!$B:$N,10,0)</f>
        <v>209</v>
      </c>
      <c r="K22" s="136">
        <f>VLOOKUP($B22,Quali!$B:$N,11,0)</f>
        <v>227</v>
      </c>
      <c r="L22" s="136">
        <f>VLOOKUP($B22,Quali!$B:$N,12,0)</f>
        <v>243</v>
      </c>
      <c r="M22" s="142">
        <f>VLOOKUP($B22,Quali!$B:$N,13,0)</f>
        <v>211</v>
      </c>
      <c r="N22" s="141">
        <f>VLOOKUP($B22,'Zwischenrunde 16'!$B:$J,6,0)</f>
        <v>158</v>
      </c>
      <c r="O22" s="135">
        <f>VLOOKUP($B22,'Zwischenrunde 16'!$B:$J,7,0)</f>
        <v>280</v>
      </c>
      <c r="P22" s="135">
        <f>VLOOKUP($B22,'Zwischenrunde 16'!$B:$J,8,0)</f>
        <v>215</v>
      </c>
      <c r="Q22" s="143">
        <f>VLOOKUP($B22,'Zwischenrunde 16'!$B:$J,9,0)</f>
        <v>211</v>
      </c>
      <c r="R22" s="141">
        <f>VLOOKUP($B22,'Petersen-Rangliste'!$B$23:$M$38,6,0)</f>
        <v>230</v>
      </c>
      <c r="S22" s="135">
        <f>VLOOKUP($B22,'Petersen-Rangliste'!$B$23:$M$38,7,0)</f>
        <v>182</v>
      </c>
      <c r="T22" s="135">
        <f>VLOOKUP($B22,'Petersen-Rangliste'!$B$23:$M$38,8,0)</f>
        <v>202</v>
      </c>
      <c r="U22" s="135">
        <f>VLOOKUP($B22,'Petersen-Rangliste'!$B$23:$M$38,9,0)</f>
        <v>212</v>
      </c>
      <c r="V22" s="135">
        <f>VLOOKUP($B22,'Petersen-Rangliste'!$B$23:$M$38,10,0)</f>
        <v>216</v>
      </c>
      <c r="W22" s="135">
        <f>VLOOKUP($B22,'Petersen-Rangliste'!$B$23:$M$38,11,0)</f>
        <v>148</v>
      </c>
      <c r="X22" s="135">
        <f>VLOOKUP($B22,'Petersen-Rangliste'!$B$23:$M$38,12,0)</f>
        <v>211</v>
      </c>
      <c r="Y22" s="135">
        <f>SUM(F22:X22)</f>
        <v>3932</v>
      </c>
      <c r="Z22" s="135">
        <f>COUNT(F22:X22)</f>
        <v>19</v>
      </c>
      <c r="AA22" s="137">
        <f>Y22/Z22</f>
        <v>206.94736842105263</v>
      </c>
      <c r="AB22" s="135">
        <f>D22*Z22</f>
        <v>19</v>
      </c>
      <c r="AC22" s="135">
        <f>Y22+AB22</f>
        <v>3951</v>
      </c>
      <c r="AD22" s="146">
        <f>SUM(AC21:AC22)</f>
        <v>7926</v>
      </c>
      <c r="AI22" s="19"/>
    </row>
    <row r="23" spans="1:35" s="12" customFormat="1" ht="18" customHeight="1">
      <c r="A23" s="133">
        <v>8</v>
      </c>
      <c r="B23" s="134" t="s">
        <v>135</v>
      </c>
      <c r="C23" s="135" t="s">
        <v>133</v>
      </c>
      <c r="D23" s="135">
        <v>7</v>
      </c>
      <c r="E23" s="135"/>
      <c r="F23" s="136">
        <f>VLOOKUP($B23,Quali!$B:$N,6,0)</f>
        <v>154</v>
      </c>
      <c r="G23" s="136">
        <f>VLOOKUP($B23,Quali!$B:$N,7,0)</f>
        <v>201</v>
      </c>
      <c r="H23" s="136">
        <f>VLOOKUP($B23,Quali!$B:$N,8,0)</f>
        <v>192</v>
      </c>
      <c r="I23" s="136">
        <f>VLOOKUP($B23,Quali!$B:$N,9,0)</f>
        <v>198</v>
      </c>
      <c r="J23" s="136">
        <f>VLOOKUP($B23,Quali!$B:$N,10,0)</f>
        <v>186</v>
      </c>
      <c r="K23" s="136">
        <f>VLOOKUP($B23,Quali!$B:$N,11,0)</f>
        <v>204</v>
      </c>
      <c r="L23" s="136">
        <f>VLOOKUP($B23,Quali!$B:$N,12,0)</f>
        <v>159</v>
      </c>
      <c r="M23" s="142">
        <f>VLOOKUP($B23,Quali!$B:$N,13,0)</f>
        <v>189</v>
      </c>
      <c r="N23" s="140"/>
      <c r="O23" s="136"/>
      <c r="P23" s="136"/>
      <c r="Q23" s="142"/>
      <c r="R23" s="140"/>
      <c r="S23" s="136"/>
      <c r="T23" s="136"/>
      <c r="U23" s="136"/>
      <c r="V23" s="136"/>
      <c r="W23" s="136"/>
      <c r="X23" s="136"/>
      <c r="Y23" s="136">
        <f>SUM(F23:X23)</f>
        <v>1483</v>
      </c>
      <c r="Z23" s="136">
        <f>COUNT(F23:X23)</f>
        <v>8</v>
      </c>
      <c r="AA23" s="137">
        <f>Y23/Z23</f>
        <v>185.375</v>
      </c>
      <c r="AB23" s="135">
        <f>D23*Z23</f>
        <v>56</v>
      </c>
      <c r="AC23" s="135">
        <f>Y23+AB23</f>
        <v>1539</v>
      </c>
      <c r="AD23" s="145">
        <f>AD24</f>
        <v>3209</v>
      </c>
      <c r="AE23" s="16">
        <f>AD23/2</f>
        <v>1604.5</v>
      </c>
      <c r="AF23" s="321">
        <f>(Y22+Y23)/24</f>
        <v>225.625</v>
      </c>
      <c r="AI23" s="19"/>
    </row>
    <row r="24" spans="1:35" s="12" customFormat="1" ht="18" customHeight="1">
      <c r="A24" s="133">
        <v>15</v>
      </c>
      <c r="B24" s="138" t="s">
        <v>185</v>
      </c>
      <c r="C24" s="135" t="s">
        <v>133</v>
      </c>
      <c r="D24" s="135">
        <v>8</v>
      </c>
      <c r="E24" s="135"/>
      <c r="F24" s="136">
        <f>VLOOKUP($B24,Quali!$B:$N,6,0)</f>
        <v>194</v>
      </c>
      <c r="G24" s="136">
        <f>VLOOKUP($B24,Quali!$B:$N,7,0)</f>
        <v>167</v>
      </c>
      <c r="H24" s="136">
        <f>VLOOKUP($B24,Quali!$B:$N,8,0)</f>
        <v>148</v>
      </c>
      <c r="I24" s="136">
        <f>VLOOKUP($B24,Quali!$B:$N,9,0)</f>
        <v>199</v>
      </c>
      <c r="J24" s="136">
        <f>VLOOKUP($B24,Quali!$B:$N,10,0)</f>
        <v>206</v>
      </c>
      <c r="K24" s="136">
        <f>VLOOKUP($B24,Quali!$B:$N,11,0)</f>
        <v>208</v>
      </c>
      <c r="L24" s="136">
        <f>VLOOKUP($B24,Quali!$B:$N,12,0)</f>
        <v>225</v>
      </c>
      <c r="M24" s="142">
        <f>VLOOKUP($B24,Quali!$B:$N,13,0)</f>
        <v>259</v>
      </c>
      <c r="N24" s="140"/>
      <c r="O24" s="136"/>
      <c r="P24" s="136"/>
      <c r="Q24" s="142"/>
      <c r="R24" s="140"/>
      <c r="S24" s="136"/>
      <c r="T24" s="136"/>
      <c r="U24" s="136"/>
      <c r="V24" s="136"/>
      <c r="W24" s="136"/>
      <c r="X24" s="136"/>
      <c r="Y24" s="135">
        <f>SUM(F24:X24)</f>
        <v>1606</v>
      </c>
      <c r="Z24" s="135">
        <f>COUNT(F24:X24)</f>
        <v>8</v>
      </c>
      <c r="AA24" s="137">
        <f>Y24/Z24</f>
        <v>200.75</v>
      </c>
      <c r="AB24" s="135">
        <f>D24*Z24</f>
        <v>64</v>
      </c>
      <c r="AC24" s="135">
        <f>Y24+AB24</f>
        <v>1670</v>
      </c>
      <c r="AD24" s="147">
        <f>SUM(AC23:AC24)</f>
        <v>3209</v>
      </c>
      <c r="AI24" s="19"/>
    </row>
    <row r="25" spans="1:35" s="12" customFormat="1" ht="18" customHeight="1">
      <c r="A25" s="133">
        <v>16</v>
      </c>
      <c r="B25" s="134" t="s">
        <v>177</v>
      </c>
      <c r="C25" s="135" t="s">
        <v>133</v>
      </c>
      <c r="D25" s="135">
        <v>14</v>
      </c>
      <c r="E25" s="135" t="s">
        <v>167</v>
      </c>
      <c r="F25" s="136">
        <f>VLOOKUP($B25,Quali!$B:$N,6,0)</f>
        <v>204</v>
      </c>
      <c r="G25" s="136">
        <f>VLOOKUP($B25,Quali!$B:$N,7,0)</f>
        <v>177</v>
      </c>
      <c r="H25" s="136">
        <f>VLOOKUP($B25,Quali!$B:$N,8,0)</f>
        <v>209</v>
      </c>
      <c r="I25" s="136">
        <f>VLOOKUP($B25,Quali!$B:$N,9,0)</f>
        <v>182</v>
      </c>
      <c r="J25" s="136">
        <f>VLOOKUP($B25,Quali!$B:$N,10,0)</f>
        <v>131</v>
      </c>
      <c r="K25" s="136">
        <f>VLOOKUP($B25,Quali!$B:$N,11,0)</f>
        <v>164</v>
      </c>
      <c r="L25" s="136">
        <f>VLOOKUP($B25,Quali!$B:$N,12,0)</f>
        <v>197</v>
      </c>
      <c r="M25" s="142">
        <f>VLOOKUP($B25,Quali!$B:$N,13,0)</f>
        <v>215</v>
      </c>
      <c r="N25" s="140"/>
      <c r="O25" s="136"/>
      <c r="P25" s="136"/>
      <c r="Q25" s="142"/>
      <c r="R25" s="140"/>
      <c r="S25" s="136"/>
      <c r="T25" s="136"/>
      <c r="U25" s="136"/>
      <c r="V25" s="136"/>
      <c r="W25" s="136"/>
      <c r="X25" s="136"/>
      <c r="Y25" s="136">
        <f>SUM(F25:X25)</f>
        <v>1479</v>
      </c>
      <c r="Z25" s="136">
        <f>COUNT(F25:X25)</f>
        <v>8</v>
      </c>
      <c r="AA25" s="137">
        <f>Y25/Z25</f>
        <v>184.875</v>
      </c>
      <c r="AB25" s="135">
        <f>D25*Z25</f>
        <v>112</v>
      </c>
      <c r="AC25" s="135">
        <f>Y25+AB25</f>
        <v>1591</v>
      </c>
      <c r="AD25" s="145">
        <f>AD26</f>
        <v>3203</v>
      </c>
      <c r="AE25" s="16">
        <f>AD25/2</f>
        <v>1601.5</v>
      </c>
      <c r="AF25" s="321">
        <f>(Y24+Y25)/24</f>
        <v>128.54166666666666</v>
      </c>
      <c r="AI25" s="19"/>
    </row>
    <row r="26" spans="1:35" s="12" customFormat="1" ht="18" customHeight="1">
      <c r="A26" s="133">
        <v>27</v>
      </c>
      <c r="B26" s="134" t="s">
        <v>113</v>
      </c>
      <c r="C26" s="135" t="s">
        <v>133</v>
      </c>
      <c r="D26" s="135">
        <v>13</v>
      </c>
      <c r="E26" s="135" t="s">
        <v>167</v>
      </c>
      <c r="F26" s="136">
        <f>VLOOKUP($B26,Quali!$B:$N,6,0)</f>
        <v>172</v>
      </c>
      <c r="G26" s="136">
        <f>VLOOKUP($B26,Quali!$B:$N,7,0)</f>
        <v>189</v>
      </c>
      <c r="H26" s="136">
        <f>VLOOKUP($B26,Quali!$B:$N,8,0)</f>
        <v>199</v>
      </c>
      <c r="I26" s="136">
        <f>VLOOKUP($B26,Quali!$B:$N,9,0)</f>
        <v>152</v>
      </c>
      <c r="J26" s="136">
        <f>VLOOKUP($B26,Quali!$B:$N,10,0)</f>
        <v>190</v>
      </c>
      <c r="K26" s="136">
        <f>VLOOKUP($B26,Quali!$B:$N,11,0)</f>
        <v>223</v>
      </c>
      <c r="L26" s="136">
        <f>VLOOKUP($B26,Quali!$B:$N,12,0)</f>
        <v>227</v>
      </c>
      <c r="M26" s="142">
        <f>VLOOKUP($B26,Quali!$B:$N,13,0)</f>
        <v>156</v>
      </c>
      <c r="N26" s="140"/>
      <c r="O26" s="136"/>
      <c r="P26" s="136"/>
      <c r="Q26" s="142"/>
      <c r="R26" s="140"/>
      <c r="S26" s="136"/>
      <c r="T26" s="136"/>
      <c r="U26" s="136"/>
      <c r="V26" s="136"/>
      <c r="W26" s="136"/>
      <c r="X26" s="136"/>
      <c r="Y26" s="135">
        <f>SUM(F26:X26)</f>
        <v>1508</v>
      </c>
      <c r="Z26" s="135">
        <f>COUNT(F26:X26)</f>
        <v>8</v>
      </c>
      <c r="AA26" s="137">
        <f>Y26/Z26</f>
        <v>188.5</v>
      </c>
      <c r="AB26" s="135">
        <f>D26*Z26</f>
        <v>104</v>
      </c>
      <c r="AC26" s="135">
        <f>Y26+AB26</f>
        <v>1612</v>
      </c>
      <c r="AD26" s="147">
        <f>SUM(AC25:AC26)</f>
        <v>3203</v>
      </c>
      <c r="AE26" s="16"/>
      <c r="AI26" s="19"/>
    </row>
    <row r="27" spans="1:35" s="12" customFormat="1" ht="18" customHeight="1">
      <c r="A27" s="133">
        <v>28</v>
      </c>
      <c r="B27" s="134" t="s">
        <v>132</v>
      </c>
      <c r="C27" s="135" t="s">
        <v>133</v>
      </c>
      <c r="D27" s="135">
        <v>1</v>
      </c>
      <c r="E27" s="135"/>
      <c r="F27" s="136">
        <f>VLOOKUP($B27,Quali!$B:$N,6,0)</f>
        <v>138</v>
      </c>
      <c r="G27" s="136">
        <f>VLOOKUP($B27,Quali!$B:$N,7,0)</f>
        <v>209</v>
      </c>
      <c r="H27" s="136">
        <f>VLOOKUP($B27,Quali!$B:$N,8,0)</f>
        <v>176</v>
      </c>
      <c r="I27" s="136">
        <f>VLOOKUP($B27,Quali!$B:$N,9,0)</f>
        <v>163</v>
      </c>
      <c r="J27" s="136">
        <f>VLOOKUP($B27,Quali!$B:$N,10,0)</f>
        <v>180</v>
      </c>
      <c r="K27" s="136">
        <f>VLOOKUP($B27,Quali!$B:$N,11,0)</f>
        <v>144</v>
      </c>
      <c r="L27" s="136">
        <f>VLOOKUP($B27,Quali!$B:$N,12,0)</f>
        <v>194</v>
      </c>
      <c r="M27" s="142">
        <f>VLOOKUP($B27,Quali!$B:$N,13,0)</f>
        <v>168</v>
      </c>
      <c r="N27" s="140"/>
      <c r="O27" s="136"/>
      <c r="P27" s="136"/>
      <c r="Q27" s="142"/>
      <c r="R27" s="140"/>
      <c r="S27" s="136"/>
      <c r="T27" s="136"/>
      <c r="U27" s="136"/>
      <c r="V27" s="136"/>
      <c r="W27" s="136"/>
      <c r="X27" s="136"/>
      <c r="Y27" s="136">
        <f>SUM(F27:X27)</f>
        <v>1372</v>
      </c>
      <c r="Z27" s="136">
        <f>COUNT(F27:X27)</f>
        <v>8</v>
      </c>
      <c r="AA27" s="137">
        <f>Y27/Z27</f>
        <v>171.5</v>
      </c>
      <c r="AB27" s="135">
        <f>D27*Z27</f>
        <v>8</v>
      </c>
      <c r="AC27" s="135">
        <f>Y27+AB27</f>
        <v>1380</v>
      </c>
      <c r="AD27" s="145">
        <f>AD28</f>
        <v>2992</v>
      </c>
      <c r="AE27" s="16">
        <f>AD27/2</f>
        <v>1496</v>
      </c>
      <c r="AF27" s="321">
        <f>(Y26+Y27)/24</f>
        <v>120</v>
      </c>
      <c r="AI27" s="19"/>
    </row>
    <row r="28" spans="1:35" s="12" customFormat="1" ht="18" customHeight="1">
      <c r="A28" s="133">
        <v>25</v>
      </c>
      <c r="B28" s="138" t="s">
        <v>134</v>
      </c>
      <c r="C28" s="135" t="s">
        <v>133</v>
      </c>
      <c r="D28" s="135">
        <v>7</v>
      </c>
      <c r="E28" s="135"/>
      <c r="F28" s="136">
        <f>VLOOKUP($B28,Quali!$B:$N,6,0)</f>
        <v>195</v>
      </c>
      <c r="G28" s="136">
        <f>VLOOKUP($B28,Quali!$B:$N,7,0)</f>
        <v>220</v>
      </c>
      <c r="H28" s="136">
        <f>VLOOKUP($B28,Quali!$B:$N,8,0)</f>
        <v>191</v>
      </c>
      <c r="I28" s="136">
        <f>VLOOKUP($B28,Quali!$B:$N,9,0)</f>
        <v>202</v>
      </c>
      <c r="J28" s="136">
        <f>VLOOKUP($B28,Quali!$B:$N,10,0)</f>
        <v>181</v>
      </c>
      <c r="K28" s="136">
        <f>VLOOKUP($B28,Quali!$B:$N,11,0)</f>
        <v>184</v>
      </c>
      <c r="L28" s="136">
        <f>VLOOKUP($B28,Quali!$B:$N,12,0)</f>
        <v>195</v>
      </c>
      <c r="M28" s="142">
        <f>VLOOKUP($B28,Quali!$B:$N,13,0)</f>
        <v>188</v>
      </c>
      <c r="N28" s="140"/>
      <c r="O28" s="136"/>
      <c r="P28" s="136"/>
      <c r="Q28" s="142"/>
      <c r="R28" s="140"/>
      <c r="S28" s="136"/>
      <c r="T28" s="136"/>
      <c r="U28" s="136"/>
      <c r="V28" s="136"/>
      <c r="W28" s="136"/>
      <c r="X28" s="136"/>
      <c r="Y28" s="135">
        <f>SUM(F28:X28)</f>
        <v>1556</v>
      </c>
      <c r="Z28" s="135">
        <f>COUNT(F28:X28)</f>
        <v>8</v>
      </c>
      <c r="AA28" s="137">
        <f>Y28/Z28</f>
        <v>194.5</v>
      </c>
      <c r="AB28" s="135">
        <f>D28*Z28</f>
        <v>56</v>
      </c>
      <c r="AC28" s="135">
        <f>Y28+AB28</f>
        <v>1612</v>
      </c>
      <c r="AD28" s="147">
        <f>SUM(AC27:AC28)</f>
        <v>2992</v>
      </c>
      <c r="AE28" s="16"/>
      <c r="AI28" s="19"/>
    </row>
    <row r="29" spans="1:35" s="12" customFormat="1" ht="18" customHeight="1">
      <c r="A29" s="133">
        <v>26</v>
      </c>
      <c r="B29" s="134" t="s">
        <v>157</v>
      </c>
      <c r="C29" s="135" t="s">
        <v>158</v>
      </c>
      <c r="D29" s="135">
        <v>12</v>
      </c>
      <c r="E29" s="135"/>
      <c r="F29" s="136">
        <f>VLOOKUP($B29,Quali!$B:$N,6,0)</f>
        <v>206</v>
      </c>
      <c r="G29" s="136">
        <f>VLOOKUP($B29,Quali!$B:$N,7,0)</f>
        <v>219</v>
      </c>
      <c r="H29" s="136">
        <f>VLOOKUP($B29,Quali!$B:$N,8,0)</f>
        <v>216</v>
      </c>
      <c r="I29" s="136">
        <f>VLOOKUP($B29,Quali!$B:$N,9,0)</f>
        <v>223</v>
      </c>
      <c r="J29" s="136">
        <f>VLOOKUP($B29,Quali!$B:$N,10,0)</f>
        <v>225</v>
      </c>
      <c r="K29" s="136">
        <f>VLOOKUP($B29,Quali!$B:$N,11,0)</f>
        <v>234</v>
      </c>
      <c r="L29" s="136">
        <f>VLOOKUP($B29,Quali!$B:$N,12,0)</f>
        <v>203</v>
      </c>
      <c r="M29" s="142">
        <f>VLOOKUP($B29,Quali!$B:$N,13,0)</f>
        <v>165</v>
      </c>
      <c r="N29" s="140">
        <f>VLOOKUP($B29,'Zwischenrunde 16'!$B:$J,6,0)</f>
        <v>203</v>
      </c>
      <c r="O29" s="136">
        <f>VLOOKUP($B29,'Zwischenrunde 16'!$B:$J,7,0)</f>
        <v>201</v>
      </c>
      <c r="P29" s="136">
        <f>VLOOKUP($B29,'Zwischenrunde 16'!$B:$J,8,0)</f>
        <v>158</v>
      </c>
      <c r="Q29" s="142">
        <f>VLOOKUP($B29,'Zwischenrunde 16'!$B:$J,9,0)</f>
        <v>194</v>
      </c>
      <c r="R29" s="140"/>
      <c r="S29" s="136"/>
      <c r="T29" s="136"/>
      <c r="U29" s="136"/>
      <c r="V29" s="136"/>
      <c r="W29" s="136"/>
      <c r="X29" s="136"/>
      <c r="Y29" s="136">
        <f>SUM(F29:X29)</f>
        <v>2447</v>
      </c>
      <c r="Z29" s="136">
        <f>COUNT(F29:X29)</f>
        <v>12</v>
      </c>
      <c r="AA29" s="137">
        <f>Y29/Z29</f>
        <v>203.91666666666666</v>
      </c>
      <c r="AB29" s="135">
        <f>D29*Z29</f>
        <v>144</v>
      </c>
      <c r="AC29" s="135">
        <f>Y29+AB29</f>
        <v>2591</v>
      </c>
      <c r="AD29" s="145">
        <f>AD30</f>
        <v>3007</v>
      </c>
      <c r="AE29" s="16">
        <f>AD29/2</f>
        <v>1503.5</v>
      </c>
      <c r="AF29" s="321">
        <f>(Y28+Y29)/24</f>
        <v>166.79166666666666</v>
      </c>
      <c r="AI29" s="19"/>
    </row>
    <row r="30" spans="1:35" s="12" customFormat="1" ht="18" customHeight="1">
      <c r="A30" s="133">
        <v>19</v>
      </c>
      <c r="B30" s="134" t="s">
        <v>169</v>
      </c>
      <c r="C30" s="135" t="s">
        <v>158</v>
      </c>
      <c r="D30" s="135">
        <v>21</v>
      </c>
      <c r="E30" s="135"/>
      <c r="F30" s="136">
        <f>VLOOKUP($B30,Quali!$B:$N,6,0)</f>
        <v>181</v>
      </c>
      <c r="G30" s="136">
        <f>VLOOKUP($B30,Quali!$B:$N,7,0)</f>
        <v>180</v>
      </c>
      <c r="H30" s="136">
        <f>VLOOKUP($B30,Quali!$B:$N,8,0)</f>
        <v>171</v>
      </c>
      <c r="I30" s="136">
        <f>VLOOKUP($B30,Quali!$B:$N,9,0)</f>
        <v>156</v>
      </c>
      <c r="J30" s="136">
        <f>VLOOKUP($B30,Quali!$B:$N,10,0)</f>
        <v>186</v>
      </c>
      <c r="K30" s="136">
        <f>VLOOKUP($B30,Quali!$B:$N,11,0)</f>
        <v>191</v>
      </c>
      <c r="L30" s="136">
        <f>VLOOKUP($B30,Quali!$B:$N,12,0)</f>
        <v>181</v>
      </c>
      <c r="M30" s="142">
        <f>VLOOKUP($B30,Quali!$B:$N,13,0)</f>
        <v>188</v>
      </c>
      <c r="N30" s="140"/>
      <c r="O30" s="136"/>
      <c r="P30" s="136"/>
      <c r="Q30" s="142"/>
      <c r="R30" s="140"/>
      <c r="S30" s="136"/>
      <c r="T30" s="136"/>
      <c r="U30" s="136"/>
      <c r="V30" s="136"/>
      <c r="W30" s="136"/>
      <c r="X30" s="136"/>
      <c r="Y30" s="136">
        <f>SUM(F30:X30)</f>
        <v>1434</v>
      </c>
      <c r="Z30" s="136">
        <f>COUNT(F30:X30)</f>
        <v>8</v>
      </c>
      <c r="AA30" s="137">
        <f>Y30/Z30</f>
        <v>179.25</v>
      </c>
      <c r="AB30" s="135">
        <f>D30*Z30</f>
        <v>168</v>
      </c>
      <c r="AC30" s="135">
        <f>Y30+AB30</f>
        <v>1602</v>
      </c>
      <c r="AD30" s="145">
        <f>AD31</f>
        <v>3007</v>
      </c>
      <c r="AE30" s="16"/>
      <c r="AI30" s="19"/>
    </row>
    <row r="31" spans="1:35" s="12" customFormat="1" ht="18" customHeight="1">
      <c r="A31" s="133">
        <v>20</v>
      </c>
      <c r="B31" s="134" t="s">
        <v>24</v>
      </c>
      <c r="C31" s="135" t="s">
        <v>119</v>
      </c>
      <c r="D31" s="135">
        <v>8</v>
      </c>
      <c r="E31" s="135"/>
      <c r="F31" s="136">
        <f>VLOOKUP($B31,Quali!$B:$N,6,0)</f>
        <v>192</v>
      </c>
      <c r="G31" s="136">
        <f>VLOOKUP($B31,Quali!$B:$N,7,0)</f>
        <v>192</v>
      </c>
      <c r="H31" s="136">
        <f>VLOOKUP($B31,Quali!$B:$N,8,0)</f>
        <v>171</v>
      </c>
      <c r="I31" s="136">
        <f>VLOOKUP($B31,Quali!$B:$N,9,0)</f>
        <v>173</v>
      </c>
      <c r="J31" s="136">
        <f>VLOOKUP($B31,Quali!$B:$N,10,0)</f>
        <v>236</v>
      </c>
      <c r="K31" s="136">
        <f>VLOOKUP($B31,Quali!$B:$N,11,0)</f>
        <v>182</v>
      </c>
      <c r="L31" s="136">
        <f>VLOOKUP($B31,Quali!$B:$N,12,0)</f>
        <v>170</v>
      </c>
      <c r="M31" s="142">
        <f>VLOOKUP($B31,Quali!$B:$N,13,0)</f>
        <v>173</v>
      </c>
      <c r="N31" s="140"/>
      <c r="O31" s="136"/>
      <c r="P31" s="136"/>
      <c r="Q31" s="142"/>
      <c r="R31" s="140"/>
      <c r="S31" s="136"/>
      <c r="T31" s="136"/>
      <c r="U31" s="136"/>
      <c r="V31" s="136"/>
      <c r="W31" s="136"/>
      <c r="X31" s="136"/>
      <c r="Y31" s="136">
        <f>SUM(F31:X31)</f>
        <v>1489</v>
      </c>
      <c r="Z31" s="136">
        <f>COUNT(F31:X31)</f>
        <v>8</v>
      </c>
      <c r="AA31" s="137">
        <f>Y31/Z31</f>
        <v>186.125</v>
      </c>
      <c r="AB31" s="135">
        <f>D31*Z31</f>
        <v>64</v>
      </c>
      <c r="AC31" s="135">
        <f>Y31+AB31</f>
        <v>1553</v>
      </c>
      <c r="AD31" s="145">
        <f>AD32</f>
        <v>3007</v>
      </c>
      <c r="AE31" s="16">
        <f>AD31/2</f>
        <v>1503.5</v>
      </c>
      <c r="AF31" s="321">
        <f>(Y30+Y31)/24</f>
        <v>121.79166666666667</v>
      </c>
      <c r="AI31" s="19"/>
    </row>
    <row r="32" spans="1:35" s="12" customFormat="1" ht="18" customHeight="1">
      <c r="A32" s="133">
        <v>31</v>
      </c>
      <c r="B32" s="138" t="s">
        <v>120</v>
      </c>
      <c r="C32" s="135" t="s">
        <v>119</v>
      </c>
      <c r="D32" s="135">
        <v>8</v>
      </c>
      <c r="E32" s="135"/>
      <c r="F32" s="136">
        <f>VLOOKUP($B32,Quali!$B:$N,6,0)</f>
        <v>174</v>
      </c>
      <c r="G32" s="136">
        <f>VLOOKUP($B32,Quali!$B:$N,7,0)</f>
        <v>168</v>
      </c>
      <c r="H32" s="136">
        <f>VLOOKUP($B32,Quali!$B:$N,8,0)</f>
        <v>168</v>
      </c>
      <c r="I32" s="136">
        <f>VLOOKUP($B32,Quali!$B:$N,9,0)</f>
        <v>161</v>
      </c>
      <c r="J32" s="136">
        <f>VLOOKUP($B32,Quali!$B:$N,10,0)</f>
        <v>177</v>
      </c>
      <c r="K32" s="136">
        <f>VLOOKUP($B32,Quali!$B:$N,11,0)</f>
        <v>216</v>
      </c>
      <c r="L32" s="136">
        <f>VLOOKUP($B32,Quali!$B:$N,12,0)</f>
        <v>160</v>
      </c>
      <c r="M32" s="142">
        <f>VLOOKUP($B32,Quali!$B:$N,13,0)</f>
        <v>166</v>
      </c>
      <c r="N32" s="140"/>
      <c r="O32" s="136"/>
      <c r="P32" s="136"/>
      <c r="Q32" s="142"/>
      <c r="R32" s="140"/>
      <c r="S32" s="136"/>
      <c r="T32" s="136"/>
      <c r="U32" s="136"/>
      <c r="V32" s="136"/>
      <c r="W32" s="136"/>
      <c r="X32" s="136"/>
      <c r="Y32" s="135">
        <f>SUM(F32:X32)</f>
        <v>1390</v>
      </c>
      <c r="Z32" s="135">
        <f>COUNT(F32:X32)</f>
        <v>8</v>
      </c>
      <c r="AA32" s="137">
        <f>Y32/Z32</f>
        <v>173.75</v>
      </c>
      <c r="AB32" s="135">
        <f>D32*Z32</f>
        <v>64</v>
      </c>
      <c r="AC32" s="135">
        <f>Y32+AB32</f>
        <v>1454</v>
      </c>
      <c r="AD32" s="147">
        <f>SUM(AC31:AC32)</f>
        <v>3007</v>
      </c>
      <c r="AE32" s="16"/>
      <c r="AI32" s="19"/>
    </row>
    <row r="33" spans="1:35" s="12" customFormat="1" ht="18" customHeight="1">
      <c r="A33" s="133">
        <v>32</v>
      </c>
      <c r="B33" s="134" t="s">
        <v>106</v>
      </c>
      <c r="C33" s="135" t="s">
        <v>89</v>
      </c>
      <c r="D33" s="135">
        <v>7</v>
      </c>
      <c r="E33" s="135"/>
      <c r="F33" s="136">
        <f>VLOOKUP($B33,Quali!$B:$N,6,0)</f>
        <v>191</v>
      </c>
      <c r="G33" s="136">
        <f>VLOOKUP($B33,Quali!$B:$N,7,0)</f>
        <v>225</v>
      </c>
      <c r="H33" s="136">
        <f>VLOOKUP($B33,Quali!$B:$N,8,0)</f>
        <v>216</v>
      </c>
      <c r="I33" s="136">
        <f>VLOOKUP($B33,Quali!$B:$N,9,0)</f>
        <v>189</v>
      </c>
      <c r="J33" s="136">
        <f>VLOOKUP($B33,Quali!$B:$N,10,0)</f>
        <v>190</v>
      </c>
      <c r="K33" s="136">
        <f>VLOOKUP($B33,Quali!$B:$N,11,0)</f>
        <v>148</v>
      </c>
      <c r="L33" s="136">
        <f>VLOOKUP($B33,Quali!$B:$N,12,0)</f>
        <v>233</v>
      </c>
      <c r="M33" s="142">
        <f>VLOOKUP($B33,Quali!$B:$N,13,0)</f>
        <v>256</v>
      </c>
      <c r="N33" s="140">
        <f>VLOOKUP($B33,'Zwischenrunde 16'!$B:$J,6,0)</f>
        <v>199</v>
      </c>
      <c r="O33" s="136">
        <f>VLOOKUP($B33,'Zwischenrunde 16'!$B:$J,7,0)</f>
        <v>206</v>
      </c>
      <c r="P33" s="136">
        <f>VLOOKUP($B33,'Zwischenrunde 16'!$B:$J,8,0)</f>
        <v>187</v>
      </c>
      <c r="Q33" s="142">
        <f>VLOOKUP($B33,'Zwischenrunde 16'!$B:$J,9,0)</f>
        <v>154</v>
      </c>
      <c r="R33" s="140"/>
      <c r="S33" s="136"/>
      <c r="T33" s="136"/>
      <c r="U33" s="136"/>
      <c r="V33" s="136"/>
      <c r="W33" s="136"/>
      <c r="X33" s="136"/>
      <c r="Y33" s="136">
        <f>SUM(F33:X33)</f>
        <v>2394</v>
      </c>
      <c r="Z33" s="136">
        <f>COUNT(F33:X33)</f>
        <v>12</v>
      </c>
      <c r="AA33" s="137">
        <f>Y33/Z33</f>
        <v>199.5</v>
      </c>
      <c r="AB33" s="135">
        <f>D33*Z33</f>
        <v>84</v>
      </c>
      <c r="AC33" s="135">
        <f>Y33+AB33</f>
        <v>2478</v>
      </c>
      <c r="AD33" s="145">
        <f>AD34</f>
        <v>4930</v>
      </c>
      <c r="AE33" s="16">
        <f>AD33/2</f>
        <v>2465</v>
      </c>
      <c r="AF33" s="321">
        <f>(Y32+Y33)/24</f>
        <v>157.66666666666666</v>
      </c>
      <c r="AI33" s="19"/>
    </row>
    <row r="34" spans="1:35" s="12" customFormat="1" ht="18" customHeight="1">
      <c r="A34" s="133">
        <v>29</v>
      </c>
      <c r="B34" s="134" t="s">
        <v>107</v>
      </c>
      <c r="C34" s="135" t="s">
        <v>89</v>
      </c>
      <c r="D34" s="135">
        <v>14</v>
      </c>
      <c r="E34" s="135"/>
      <c r="F34" s="136">
        <f>VLOOKUP($B34,Quali!$B:$N,6,0)</f>
        <v>213</v>
      </c>
      <c r="G34" s="136">
        <f>VLOOKUP($B34,Quali!$B:$N,7,0)</f>
        <v>168</v>
      </c>
      <c r="H34" s="136">
        <f>VLOOKUP($B34,Quali!$B:$N,8,0)</f>
        <v>197</v>
      </c>
      <c r="I34" s="136">
        <f>VLOOKUP($B34,Quali!$B:$N,9,0)</f>
        <v>183</v>
      </c>
      <c r="J34" s="136">
        <f>VLOOKUP($B34,Quali!$B:$N,10,0)</f>
        <v>202</v>
      </c>
      <c r="K34" s="136">
        <f>VLOOKUP($B34,Quali!$B:$N,11,0)</f>
        <v>199</v>
      </c>
      <c r="L34" s="136">
        <f>VLOOKUP($B34,Quali!$B:$N,12,0)</f>
        <v>161</v>
      </c>
      <c r="M34" s="142">
        <f>VLOOKUP($B34,Quali!$B:$N,13,0)</f>
        <v>246</v>
      </c>
      <c r="N34" s="141">
        <f>VLOOKUP($B34,'Zwischenrunde 16'!$B:$J,6,0)</f>
        <v>158</v>
      </c>
      <c r="O34" s="135">
        <f>VLOOKUP($B34,'Zwischenrunde 16'!$B:$J,7,0)</f>
        <v>208</v>
      </c>
      <c r="P34" s="135">
        <f>VLOOKUP($B34,'Zwischenrunde 16'!$B:$J,8,0)</f>
        <v>182</v>
      </c>
      <c r="Q34" s="143">
        <f>VLOOKUP($B34,'Zwischenrunde 16'!$B:$J,9,0)</f>
        <v>167</v>
      </c>
      <c r="R34" s="141"/>
      <c r="S34" s="135"/>
      <c r="T34" s="135"/>
      <c r="U34" s="135"/>
      <c r="V34" s="135"/>
      <c r="W34" s="135"/>
      <c r="X34" s="135"/>
      <c r="Y34" s="135">
        <f>SUM(F34:X34)</f>
        <v>2284</v>
      </c>
      <c r="Z34" s="135">
        <f>COUNT(F34:X34)</f>
        <v>12</v>
      </c>
      <c r="AA34" s="137">
        <f>Y34/Z34</f>
        <v>190.33333333333334</v>
      </c>
      <c r="AB34" s="135">
        <f>D34*Z34</f>
        <v>168</v>
      </c>
      <c r="AC34" s="135">
        <f>Y34+AB34</f>
        <v>2452</v>
      </c>
      <c r="AD34" s="146">
        <f>SUM(AC33:AC34)</f>
        <v>4930</v>
      </c>
      <c r="AE34" s="16"/>
      <c r="AI34" s="19"/>
    </row>
    <row r="35" spans="1:35" s="12" customFormat="1" ht="18" customHeight="1" thickBot="1">
      <c r="A35" s="149">
        <v>30</v>
      </c>
      <c r="B35" s="150" t="s">
        <v>103</v>
      </c>
      <c r="C35" s="151" t="s">
        <v>89</v>
      </c>
      <c r="D35" s="151">
        <v>2</v>
      </c>
      <c r="E35" s="151" t="s">
        <v>167</v>
      </c>
      <c r="F35" s="152">
        <f>VLOOKUP($B35,Quali!$B:$N,6,0)</f>
        <v>236</v>
      </c>
      <c r="G35" s="152">
        <f>VLOOKUP($B35,Quali!$B:$N,7,0)</f>
        <v>202</v>
      </c>
      <c r="H35" s="152">
        <f>VLOOKUP($B35,Quali!$B:$N,8,0)</f>
        <v>225</v>
      </c>
      <c r="I35" s="152">
        <f>VLOOKUP($B35,Quali!$B:$N,9,0)</f>
        <v>257</v>
      </c>
      <c r="J35" s="152">
        <f>VLOOKUP($B35,Quali!$B:$N,10,0)</f>
        <v>202</v>
      </c>
      <c r="K35" s="152">
        <f>VLOOKUP($B35,Quali!$B:$N,11,0)</f>
        <v>202</v>
      </c>
      <c r="L35" s="152">
        <f>VLOOKUP($B35,Quali!$B:$N,12,0)</f>
        <v>158</v>
      </c>
      <c r="M35" s="153">
        <f>VLOOKUP($B35,Quali!$B:$N,13,0)</f>
        <v>197</v>
      </c>
      <c r="N35" s="154"/>
      <c r="O35" s="152"/>
      <c r="P35" s="152"/>
      <c r="Q35" s="153"/>
      <c r="R35" s="154"/>
      <c r="S35" s="152"/>
      <c r="T35" s="152"/>
      <c r="U35" s="152"/>
      <c r="V35" s="152"/>
      <c r="W35" s="152"/>
      <c r="X35" s="152"/>
      <c r="Y35" s="152">
        <f>SUM(F35:X35)</f>
        <v>1679</v>
      </c>
      <c r="Z35" s="152">
        <f>COUNT(F35:X35)</f>
        <v>8</v>
      </c>
      <c r="AA35" s="155">
        <f>Y35/Z35</f>
        <v>209.875</v>
      </c>
      <c r="AB35" s="151">
        <f>D35*Z35</f>
        <v>16</v>
      </c>
      <c r="AC35" s="151">
        <f>Y35+AB35</f>
        <v>1695</v>
      </c>
      <c r="AD35" s="345">
        <f>AD36</f>
        <v>3152</v>
      </c>
      <c r="AE35" s="16">
        <f>AD35/2</f>
        <v>1576</v>
      </c>
      <c r="AF35" s="321">
        <f>(Y34+Y35)/24</f>
        <v>165.125</v>
      </c>
      <c r="AI35" s="19"/>
    </row>
    <row r="36" spans="1:30" s="12" customFormat="1" ht="18" customHeight="1">
      <c r="A36" s="158">
        <v>27</v>
      </c>
      <c r="B36" s="159" t="s">
        <v>88</v>
      </c>
      <c r="C36" s="160" t="s">
        <v>89</v>
      </c>
      <c r="D36" s="160">
        <v>16</v>
      </c>
      <c r="E36" s="160"/>
      <c r="F36" s="161">
        <f>VLOOKUP($B36,Quali!$B:$N,6,0)</f>
        <v>194</v>
      </c>
      <c r="G36" s="161">
        <f>VLOOKUP($B36,Quali!$B:$N,7,0)</f>
        <v>169</v>
      </c>
      <c r="H36" s="161">
        <f>VLOOKUP($B36,Quali!$B:$N,8,0)</f>
        <v>196</v>
      </c>
      <c r="I36" s="161">
        <f>VLOOKUP($B36,Quali!$B:$N,9,0)</f>
        <v>203</v>
      </c>
      <c r="J36" s="161">
        <f>VLOOKUP($B36,Quali!$B:$N,10,0)</f>
        <v>179</v>
      </c>
      <c r="K36" s="161">
        <f>VLOOKUP($B36,Quali!$B:$N,11,0)</f>
        <v>201</v>
      </c>
      <c r="L36" s="161">
        <f>VLOOKUP($B36,Quali!$B:$N,12,0)</f>
        <v>193</v>
      </c>
      <c r="M36" s="162">
        <f>VLOOKUP($B36,Quali!$B:$N,13,0)</f>
        <v>190</v>
      </c>
      <c r="N36" s="163"/>
      <c r="O36" s="161"/>
      <c r="P36" s="161"/>
      <c r="Q36" s="161"/>
      <c r="R36" s="161"/>
      <c r="S36" s="161"/>
      <c r="T36" s="161"/>
      <c r="U36" s="161"/>
      <c r="V36" s="161"/>
      <c r="W36" s="161"/>
      <c r="X36" s="161"/>
      <c r="Y36" s="161">
        <f>SUM(F36:X36)</f>
        <v>1525</v>
      </c>
      <c r="Z36" s="161">
        <f>COUNT(F36:X36)</f>
        <v>8</v>
      </c>
      <c r="AA36" s="166">
        <f>Y36/Z36</f>
        <v>190.625</v>
      </c>
      <c r="AB36" s="160">
        <f>D36*Z36</f>
        <v>128</v>
      </c>
      <c r="AC36" s="160">
        <f>Y36+AB36</f>
        <v>1653</v>
      </c>
      <c r="AD36" s="167">
        <f>AD37</f>
        <v>3152</v>
      </c>
    </row>
    <row r="37" spans="1:30" s="12" customFormat="1" ht="18" customHeight="1">
      <c r="A37" s="133">
        <v>28</v>
      </c>
      <c r="B37" s="134" t="s">
        <v>90</v>
      </c>
      <c r="C37" s="135" t="s">
        <v>89</v>
      </c>
      <c r="D37" s="135">
        <v>11</v>
      </c>
      <c r="E37" s="135"/>
      <c r="F37" s="136">
        <f>VLOOKUP($B37,Quali!$B:$N,6,0)</f>
        <v>124</v>
      </c>
      <c r="G37" s="136">
        <f>VLOOKUP($B37,Quali!$B:$N,7,0)</f>
        <v>173</v>
      </c>
      <c r="H37" s="136">
        <f>VLOOKUP($B37,Quali!$B:$N,8,0)</f>
        <v>176</v>
      </c>
      <c r="I37" s="136">
        <f>VLOOKUP($B37,Quali!$B:$N,9,0)</f>
        <v>216</v>
      </c>
      <c r="J37" s="136">
        <f>VLOOKUP($B37,Quali!$B:$N,10,0)</f>
        <v>163</v>
      </c>
      <c r="K37" s="136">
        <f>VLOOKUP($B37,Quali!$B:$N,11,0)</f>
        <v>156</v>
      </c>
      <c r="L37" s="136">
        <f>VLOOKUP($B37,Quali!$B:$N,12,0)</f>
        <v>224</v>
      </c>
      <c r="M37" s="142">
        <f>VLOOKUP($B37,Quali!$B:$N,13,0)</f>
        <v>179</v>
      </c>
      <c r="N37" s="140"/>
      <c r="O37" s="136"/>
      <c r="P37" s="136"/>
      <c r="Q37" s="136"/>
      <c r="R37" s="136"/>
      <c r="S37" s="136"/>
      <c r="T37" s="136"/>
      <c r="U37" s="136"/>
      <c r="V37" s="136"/>
      <c r="W37" s="136"/>
      <c r="X37" s="136"/>
      <c r="Y37" s="135">
        <f>SUM(F37:X37)</f>
        <v>1411</v>
      </c>
      <c r="Z37" s="135">
        <f>COUNT(F37:X37)</f>
        <v>8</v>
      </c>
      <c r="AA37" s="137">
        <f>Y37/Z37</f>
        <v>176.375</v>
      </c>
      <c r="AB37" s="135">
        <f>D37*Z37</f>
        <v>88</v>
      </c>
      <c r="AC37" s="135">
        <f>Y37+AB37</f>
        <v>1499</v>
      </c>
      <c r="AD37" s="147">
        <f>SUM(AC36:AC37)</f>
        <v>3152</v>
      </c>
    </row>
    <row r="38" spans="1:30" s="12" customFormat="1" ht="18" customHeight="1">
      <c r="A38" s="133">
        <v>29</v>
      </c>
      <c r="B38" s="134" t="s">
        <v>110</v>
      </c>
      <c r="C38" s="135" t="s">
        <v>89</v>
      </c>
      <c r="D38" s="135">
        <v>7</v>
      </c>
      <c r="E38" s="135"/>
      <c r="F38" s="136">
        <f>VLOOKUP($B38,Quali!$B:$N,6,0)</f>
        <v>173</v>
      </c>
      <c r="G38" s="136">
        <f>VLOOKUP($B38,Quali!$B:$N,7,0)</f>
        <v>175</v>
      </c>
      <c r="H38" s="136">
        <f>VLOOKUP($B38,Quali!$B:$N,8,0)</f>
        <v>187</v>
      </c>
      <c r="I38" s="136">
        <f>VLOOKUP($B38,Quali!$B:$N,9,0)</f>
        <v>246</v>
      </c>
      <c r="J38" s="136">
        <f>VLOOKUP($B38,Quali!$B:$N,10,0)</f>
        <v>159</v>
      </c>
      <c r="K38" s="136">
        <f>VLOOKUP($B38,Quali!$B:$N,11,0)</f>
        <v>136</v>
      </c>
      <c r="L38" s="136">
        <f>VLOOKUP($B38,Quali!$B:$N,12,0)</f>
        <v>225</v>
      </c>
      <c r="M38" s="142">
        <f>VLOOKUP($B38,Quali!$B:$N,13,0)</f>
        <v>197</v>
      </c>
      <c r="N38" s="140"/>
      <c r="O38" s="136"/>
      <c r="P38" s="136"/>
      <c r="Q38" s="136"/>
      <c r="R38" s="136"/>
      <c r="S38" s="136"/>
      <c r="T38" s="136"/>
      <c r="U38" s="136"/>
      <c r="V38" s="136"/>
      <c r="W38" s="136"/>
      <c r="X38" s="136"/>
      <c r="Y38" s="136">
        <f>SUM(F38:X38)</f>
        <v>1498</v>
      </c>
      <c r="Z38" s="136">
        <f>COUNT(F38:X38)</f>
        <v>8</v>
      </c>
      <c r="AA38" s="137">
        <f>Y38/Z38</f>
        <v>187.25</v>
      </c>
      <c r="AB38" s="135">
        <f>D38*Z38</f>
        <v>56</v>
      </c>
      <c r="AC38" s="135">
        <f>Y38+AB38</f>
        <v>1554</v>
      </c>
      <c r="AD38" s="145">
        <f>AD39</f>
        <v>3099</v>
      </c>
    </row>
    <row r="39" spans="1:30" s="12" customFormat="1" ht="18" customHeight="1">
      <c r="A39" s="133">
        <v>30</v>
      </c>
      <c r="B39" s="134" t="s">
        <v>111</v>
      </c>
      <c r="C39" s="135" t="s">
        <v>89</v>
      </c>
      <c r="D39" s="135">
        <v>16</v>
      </c>
      <c r="E39" s="135"/>
      <c r="F39" s="136">
        <f>VLOOKUP($B39,Quali!$B:$N,6,0)</f>
        <v>151</v>
      </c>
      <c r="G39" s="136">
        <f>VLOOKUP($B39,Quali!$B:$N,7,0)</f>
        <v>169</v>
      </c>
      <c r="H39" s="136">
        <f>VLOOKUP($B39,Quali!$B:$N,8,0)</f>
        <v>197</v>
      </c>
      <c r="I39" s="136">
        <f>VLOOKUP($B39,Quali!$B:$N,9,0)</f>
        <v>190</v>
      </c>
      <c r="J39" s="136">
        <f>VLOOKUP($B39,Quali!$B:$N,10,0)</f>
        <v>191</v>
      </c>
      <c r="K39" s="136">
        <f>VLOOKUP($B39,Quali!$B:$N,11,0)</f>
        <v>202</v>
      </c>
      <c r="L39" s="136">
        <f>VLOOKUP($B39,Quali!$B:$N,12,0)</f>
        <v>146</v>
      </c>
      <c r="M39" s="142">
        <f>VLOOKUP($B39,Quali!$B:$N,13,0)</f>
        <v>171</v>
      </c>
      <c r="N39" s="140"/>
      <c r="O39" s="136"/>
      <c r="P39" s="136"/>
      <c r="Q39" s="136"/>
      <c r="R39" s="136"/>
      <c r="S39" s="136"/>
      <c r="T39" s="136"/>
      <c r="U39" s="136"/>
      <c r="V39" s="136"/>
      <c r="W39" s="136"/>
      <c r="X39" s="136"/>
      <c r="Y39" s="135">
        <f>SUM(F39:X39)</f>
        <v>1417</v>
      </c>
      <c r="Z39" s="135">
        <f>COUNT(F39:X39)</f>
        <v>8</v>
      </c>
      <c r="AA39" s="137">
        <f>Y39/Z39</f>
        <v>177.125</v>
      </c>
      <c r="AB39" s="135">
        <f>D39*Z39</f>
        <v>128</v>
      </c>
      <c r="AC39" s="135">
        <f>Y39+AB39</f>
        <v>1545</v>
      </c>
      <c r="AD39" s="147">
        <f>SUM(AC38:AC39)</f>
        <v>3099</v>
      </c>
    </row>
    <row r="40" spans="1:30" s="12" customFormat="1" ht="18" customHeight="1">
      <c r="A40" s="133">
        <v>31</v>
      </c>
      <c r="B40" s="138" t="s">
        <v>91</v>
      </c>
      <c r="C40" s="135" t="s">
        <v>89</v>
      </c>
      <c r="D40" s="135">
        <v>29</v>
      </c>
      <c r="E40" s="135"/>
      <c r="F40" s="136">
        <f>VLOOKUP($B40,Quali!$B:$N,6,0)</f>
        <v>148</v>
      </c>
      <c r="G40" s="136">
        <f>VLOOKUP($B40,Quali!$B:$N,7,0)</f>
        <v>121</v>
      </c>
      <c r="H40" s="136">
        <f>VLOOKUP($B40,Quali!$B:$N,8,0)</f>
        <v>143</v>
      </c>
      <c r="I40" s="136">
        <f>VLOOKUP($B40,Quali!$B:$N,9,0)</f>
        <v>151</v>
      </c>
      <c r="J40" s="136">
        <f>VLOOKUP($B40,Quali!$B:$N,10,0)</f>
        <v>149</v>
      </c>
      <c r="K40" s="136">
        <f>VLOOKUP($B40,Quali!$B:$N,11,0)</f>
        <v>149</v>
      </c>
      <c r="L40" s="136">
        <f>VLOOKUP($B40,Quali!$B:$N,12,0)</f>
        <v>138</v>
      </c>
      <c r="M40" s="142">
        <f>VLOOKUP($B40,Quali!$B:$N,13,0)</f>
        <v>159</v>
      </c>
      <c r="N40" s="140"/>
      <c r="O40" s="136"/>
      <c r="P40" s="136"/>
      <c r="Q40" s="136"/>
      <c r="R40" s="136"/>
      <c r="S40" s="136"/>
      <c r="T40" s="136"/>
      <c r="U40" s="136"/>
      <c r="V40" s="136"/>
      <c r="W40" s="136"/>
      <c r="X40" s="136"/>
      <c r="Y40" s="136">
        <f>SUM(F40:X40)</f>
        <v>1158</v>
      </c>
      <c r="Z40" s="136">
        <f>COUNT(F40:X40)</f>
        <v>8</v>
      </c>
      <c r="AA40" s="137">
        <f>Y40/Z40</f>
        <v>144.75</v>
      </c>
      <c r="AB40" s="135">
        <f>D40*Z40</f>
        <v>232</v>
      </c>
      <c r="AC40" s="135">
        <f>Y40+AB40</f>
        <v>1390</v>
      </c>
      <c r="AD40" s="145">
        <f>AD41</f>
        <v>3026</v>
      </c>
    </row>
    <row r="41" spans="1:30" s="12" customFormat="1" ht="18" customHeight="1">
      <c r="A41" s="133">
        <v>32</v>
      </c>
      <c r="B41" s="138" t="s">
        <v>92</v>
      </c>
      <c r="C41" s="135" t="s">
        <v>89</v>
      </c>
      <c r="D41" s="135">
        <v>11</v>
      </c>
      <c r="E41" s="135"/>
      <c r="F41" s="136">
        <f>VLOOKUP($B41,Quali!$B:$N,6,0)</f>
        <v>214</v>
      </c>
      <c r="G41" s="136">
        <f>VLOOKUP($B41,Quali!$B:$N,7,0)</f>
        <v>183</v>
      </c>
      <c r="H41" s="136">
        <f>VLOOKUP($B41,Quali!$B:$N,8,0)</f>
        <v>178</v>
      </c>
      <c r="I41" s="136">
        <f>VLOOKUP($B41,Quali!$B:$N,9,0)</f>
        <v>199</v>
      </c>
      <c r="J41" s="136">
        <f>VLOOKUP($B41,Quali!$B:$N,10,0)</f>
        <v>187</v>
      </c>
      <c r="K41" s="136">
        <f>VLOOKUP($B41,Quali!$B:$N,11,0)</f>
        <v>196</v>
      </c>
      <c r="L41" s="136">
        <f>VLOOKUP($B41,Quali!$B:$N,12,0)</f>
        <v>189</v>
      </c>
      <c r="M41" s="142">
        <f>VLOOKUP($B41,Quali!$B:$N,13,0)</f>
        <v>202</v>
      </c>
      <c r="N41" s="140"/>
      <c r="O41" s="136"/>
      <c r="P41" s="136"/>
      <c r="Q41" s="136"/>
      <c r="R41" s="136"/>
      <c r="S41" s="136"/>
      <c r="T41" s="136"/>
      <c r="U41" s="136"/>
      <c r="V41" s="136"/>
      <c r="W41" s="136"/>
      <c r="X41" s="136"/>
      <c r="Y41" s="135">
        <f>SUM(F41:X41)</f>
        <v>1548</v>
      </c>
      <c r="Z41" s="135">
        <f>COUNT(F41:X41)</f>
        <v>8</v>
      </c>
      <c r="AA41" s="137">
        <f>Y41/Z41</f>
        <v>193.5</v>
      </c>
      <c r="AB41" s="135">
        <f>D41*Z41</f>
        <v>88</v>
      </c>
      <c r="AC41" s="135">
        <f>Y41+AB41</f>
        <v>1636</v>
      </c>
      <c r="AD41" s="147">
        <f>SUM(AC40:AC41)</f>
        <v>3026</v>
      </c>
    </row>
    <row r="42" spans="1:30" s="12" customFormat="1" ht="18" customHeight="1">
      <c r="A42" s="133">
        <v>105</v>
      </c>
      <c r="B42" s="134" t="s">
        <v>23</v>
      </c>
      <c r="C42" s="135" t="s">
        <v>94</v>
      </c>
      <c r="D42" s="135">
        <v>5</v>
      </c>
      <c r="E42" s="135"/>
      <c r="F42" s="136">
        <f>VLOOKUP($B42,Quali!$B:$N,6,0)</f>
        <v>195</v>
      </c>
      <c r="G42" s="136">
        <f>VLOOKUP($B42,Quali!$B:$N,7,0)</f>
        <v>210</v>
      </c>
      <c r="H42" s="136">
        <f>VLOOKUP($B42,Quali!$B:$N,8,0)</f>
        <v>199</v>
      </c>
      <c r="I42" s="136">
        <f>VLOOKUP($B42,Quali!$B:$N,9,0)</f>
        <v>192</v>
      </c>
      <c r="J42" s="136">
        <f>VLOOKUP($B42,Quali!$B:$N,10,0)</f>
        <v>212</v>
      </c>
      <c r="K42" s="136">
        <f>VLOOKUP($B42,Quali!$B:$N,11,0)</f>
        <v>215</v>
      </c>
      <c r="L42" s="136">
        <f>VLOOKUP($B42,Quali!$B:$N,12,0)</f>
        <v>203</v>
      </c>
      <c r="M42" s="142">
        <f>VLOOKUP($B42,Quali!$B:$N,13,0)</f>
        <v>182</v>
      </c>
      <c r="N42" s="140">
        <f>VLOOKUP($B42,'Zwischenrunde 16'!$B:$J,6,0)</f>
        <v>180</v>
      </c>
      <c r="O42" s="136">
        <f>VLOOKUP($B42,'Zwischenrunde 16'!$B:$J,7,0)</f>
        <v>171</v>
      </c>
      <c r="P42" s="136">
        <f>VLOOKUP($B42,'Zwischenrunde 16'!$B:$J,8,0)</f>
        <v>179</v>
      </c>
      <c r="Q42" s="136">
        <f>VLOOKUP($B42,'Zwischenrunde 16'!$B:$J,9,0)</f>
        <v>203</v>
      </c>
      <c r="R42" s="136"/>
      <c r="S42" s="136"/>
      <c r="T42" s="136"/>
      <c r="U42" s="136"/>
      <c r="V42" s="136"/>
      <c r="W42" s="136"/>
      <c r="X42" s="136"/>
      <c r="Y42" s="136">
        <f>SUM(F42:X42)</f>
        <v>2341</v>
      </c>
      <c r="Z42" s="136">
        <f>COUNT(F42:X42)</f>
        <v>12</v>
      </c>
      <c r="AA42" s="137">
        <f>Y42/Z42</f>
        <v>195.08333333333334</v>
      </c>
      <c r="AB42" s="135">
        <f>D42*Z42</f>
        <v>60</v>
      </c>
      <c r="AC42" s="135">
        <f>Y42+AB42</f>
        <v>2401</v>
      </c>
      <c r="AD42" s="145">
        <f>AD43</f>
        <v>4978</v>
      </c>
    </row>
    <row r="43" spans="1:30" s="12" customFormat="1" ht="18" customHeight="1">
      <c r="A43" s="133">
        <v>106</v>
      </c>
      <c r="B43" s="134" t="s">
        <v>100</v>
      </c>
      <c r="C43" s="135" t="s">
        <v>94</v>
      </c>
      <c r="D43" s="135">
        <v>11</v>
      </c>
      <c r="E43" s="135"/>
      <c r="F43" s="136">
        <f>VLOOKUP($B43,Quali!$B:$N,6,0)</f>
        <v>217</v>
      </c>
      <c r="G43" s="136">
        <f>VLOOKUP($B43,Quali!$B:$N,7,0)</f>
        <v>214</v>
      </c>
      <c r="H43" s="136">
        <f>VLOOKUP($B43,Quali!$B:$N,8,0)</f>
        <v>175</v>
      </c>
      <c r="I43" s="136">
        <f>VLOOKUP($B43,Quali!$B:$N,9,0)</f>
        <v>200</v>
      </c>
      <c r="J43" s="136">
        <f>VLOOKUP($B43,Quali!$B:$N,10,0)</f>
        <v>235</v>
      </c>
      <c r="K43" s="136">
        <f>VLOOKUP($B43,Quali!$B:$N,11,0)</f>
        <v>208</v>
      </c>
      <c r="L43" s="136">
        <f>VLOOKUP($B43,Quali!$B:$N,12,0)</f>
        <v>193</v>
      </c>
      <c r="M43" s="142">
        <f>VLOOKUP($B43,Quali!$B:$N,13,0)</f>
        <v>192</v>
      </c>
      <c r="N43" s="141">
        <f>VLOOKUP($B43,'Zwischenrunde 16'!$B:$J,6,0)</f>
        <v>215</v>
      </c>
      <c r="O43" s="135">
        <f>VLOOKUP($B43,'Zwischenrunde 16'!$B:$J,7,0)</f>
        <v>205</v>
      </c>
      <c r="P43" s="135">
        <f>VLOOKUP($B43,'Zwischenrunde 16'!$B:$J,8,0)</f>
        <v>169</v>
      </c>
      <c r="Q43" s="135">
        <f>VLOOKUP($B43,'Zwischenrunde 16'!$B:$J,9,0)</f>
        <v>222</v>
      </c>
      <c r="R43" s="135"/>
      <c r="S43" s="135"/>
      <c r="T43" s="135"/>
      <c r="U43" s="135"/>
      <c r="V43" s="135"/>
      <c r="W43" s="135"/>
      <c r="X43" s="135"/>
      <c r="Y43" s="135">
        <f>SUM(F43:X43)</f>
        <v>2445</v>
      </c>
      <c r="Z43" s="135">
        <f>COUNT(F43:X43)</f>
        <v>12</v>
      </c>
      <c r="AA43" s="137">
        <f>Y43/Z43</f>
        <v>203.75</v>
      </c>
      <c r="AB43" s="135">
        <f>D43*Z43</f>
        <v>132</v>
      </c>
      <c r="AC43" s="135">
        <f>Y43+AB43</f>
        <v>2577</v>
      </c>
      <c r="AD43" s="146">
        <f>SUM(AC42:AC43)</f>
        <v>4978</v>
      </c>
    </row>
    <row r="44" spans="1:30" s="12" customFormat="1" ht="18" customHeight="1">
      <c r="A44" s="133">
        <v>33</v>
      </c>
      <c r="B44" s="134" t="s">
        <v>117</v>
      </c>
      <c r="C44" s="135" t="s">
        <v>94</v>
      </c>
      <c r="D44" s="135">
        <v>5</v>
      </c>
      <c r="E44" s="135"/>
      <c r="F44" s="136">
        <f>VLOOKUP($B44,Quali!$B:$N,6,0)</f>
        <v>228</v>
      </c>
      <c r="G44" s="136">
        <f>VLOOKUP($B44,Quali!$B:$N,7,0)</f>
        <v>203</v>
      </c>
      <c r="H44" s="136">
        <f>VLOOKUP($B44,Quali!$B:$N,8,0)</f>
        <v>189</v>
      </c>
      <c r="I44" s="136">
        <f>VLOOKUP($B44,Quali!$B:$N,9,0)</f>
        <v>202</v>
      </c>
      <c r="J44" s="136">
        <f>VLOOKUP($B44,Quali!$B:$N,10,0)</f>
        <v>215</v>
      </c>
      <c r="K44" s="136">
        <f>VLOOKUP($B44,Quali!$B:$N,11,0)</f>
        <v>268</v>
      </c>
      <c r="L44" s="136">
        <f>VLOOKUP($B44,Quali!$B:$N,12,0)</f>
        <v>181</v>
      </c>
      <c r="M44" s="142">
        <f>VLOOKUP($B44,Quali!$B:$N,13,0)</f>
        <v>192</v>
      </c>
      <c r="N44" s="140">
        <f>VLOOKUP($B44,'Zwischenrunde 16'!$B:$J,6,0)</f>
        <v>203</v>
      </c>
      <c r="O44" s="136">
        <f>VLOOKUP($B44,'Zwischenrunde 16'!$B:$J,7,0)</f>
        <v>224</v>
      </c>
      <c r="P44" s="136">
        <f>VLOOKUP($B44,'Zwischenrunde 16'!$B:$J,8,0)</f>
        <v>213</v>
      </c>
      <c r="Q44" s="136">
        <f>VLOOKUP($B44,'Zwischenrunde 16'!$B:$J,9,0)</f>
        <v>185</v>
      </c>
      <c r="R44" s="136"/>
      <c r="S44" s="136"/>
      <c r="T44" s="136"/>
      <c r="U44" s="136"/>
      <c r="V44" s="136"/>
      <c r="W44" s="136"/>
      <c r="X44" s="136"/>
      <c r="Y44" s="136">
        <f>SUM(F44:X44)</f>
        <v>2503</v>
      </c>
      <c r="Z44" s="136">
        <f>COUNT(F44:X44)</f>
        <v>12</v>
      </c>
      <c r="AA44" s="137">
        <f>Y44/Z44</f>
        <v>208.58333333333334</v>
      </c>
      <c r="AB44" s="135">
        <f>D44*Z44</f>
        <v>60</v>
      </c>
      <c r="AC44" s="135">
        <f>Y44+AB44</f>
        <v>2563</v>
      </c>
      <c r="AD44" s="145">
        <f>AD45</f>
        <v>4927</v>
      </c>
    </row>
    <row r="45" spans="1:30" s="12" customFormat="1" ht="18" customHeight="1">
      <c r="A45" s="133">
        <v>34</v>
      </c>
      <c r="B45" s="134" t="s">
        <v>118</v>
      </c>
      <c r="C45" s="135" t="s">
        <v>94</v>
      </c>
      <c r="D45" s="135">
        <v>3</v>
      </c>
      <c r="E45" s="135"/>
      <c r="F45" s="136">
        <f>VLOOKUP($B45,Quali!$B:$N,6,0)</f>
        <v>160</v>
      </c>
      <c r="G45" s="136">
        <f>VLOOKUP($B45,Quali!$B:$N,7,0)</f>
        <v>191</v>
      </c>
      <c r="H45" s="136">
        <f>VLOOKUP($B45,Quali!$B:$N,8,0)</f>
        <v>189</v>
      </c>
      <c r="I45" s="136">
        <f>VLOOKUP($B45,Quali!$B:$N,9,0)</f>
        <v>199</v>
      </c>
      <c r="J45" s="136">
        <f>VLOOKUP($B45,Quali!$B:$N,10,0)</f>
        <v>213</v>
      </c>
      <c r="K45" s="136">
        <f>VLOOKUP($B45,Quali!$B:$N,11,0)</f>
        <v>217</v>
      </c>
      <c r="L45" s="136">
        <f>VLOOKUP($B45,Quali!$B:$N,12,0)</f>
        <v>192</v>
      </c>
      <c r="M45" s="142">
        <f>VLOOKUP($B45,Quali!$B:$N,13,0)</f>
        <v>176</v>
      </c>
      <c r="N45" s="141">
        <f>VLOOKUP($B45,'Zwischenrunde 16'!$B:$J,6,0)</f>
        <v>186</v>
      </c>
      <c r="O45" s="135">
        <f>VLOOKUP($B45,'Zwischenrunde 16'!$B:$J,7,0)</f>
        <v>184</v>
      </c>
      <c r="P45" s="135">
        <f>VLOOKUP($B45,'Zwischenrunde 16'!$B:$J,8,0)</f>
        <v>165</v>
      </c>
      <c r="Q45" s="135">
        <f>VLOOKUP($B45,'Zwischenrunde 16'!$B:$J,9,0)</f>
        <v>256</v>
      </c>
      <c r="R45" s="135"/>
      <c r="S45" s="135"/>
      <c r="T45" s="135"/>
      <c r="U45" s="135"/>
      <c r="V45" s="135"/>
      <c r="W45" s="135"/>
      <c r="X45" s="135"/>
      <c r="Y45" s="135">
        <f>SUM(F45:X45)</f>
        <v>2328</v>
      </c>
      <c r="Z45" s="135">
        <f>COUNT(F45:X45)</f>
        <v>12</v>
      </c>
      <c r="AA45" s="137">
        <f>Y45/Z45</f>
        <v>194</v>
      </c>
      <c r="AB45" s="135">
        <f>D45*Z45</f>
        <v>36</v>
      </c>
      <c r="AC45" s="135">
        <f>Y45+AB45</f>
        <v>2364</v>
      </c>
      <c r="AD45" s="146">
        <f>SUM(AC44:AC45)</f>
        <v>4927</v>
      </c>
    </row>
    <row r="46" spans="1:30" s="12" customFormat="1" ht="18" customHeight="1">
      <c r="A46" s="133">
        <v>35</v>
      </c>
      <c r="B46" s="134" t="s">
        <v>108</v>
      </c>
      <c r="C46" s="135" t="s">
        <v>94</v>
      </c>
      <c r="D46" s="135">
        <v>11</v>
      </c>
      <c r="E46" s="135"/>
      <c r="F46" s="136">
        <f>VLOOKUP($B46,Quali!$B:$N,6,0)</f>
        <v>224</v>
      </c>
      <c r="G46" s="136">
        <f>VLOOKUP($B46,Quali!$B:$N,7,0)</f>
        <v>238</v>
      </c>
      <c r="H46" s="136">
        <f>VLOOKUP($B46,Quali!$B:$N,8,0)</f>
        <v>204</v>
      </c>
      <c r="I46" s="136">
        <f>VLOOKUP($B46,Quali!$B:$N,9,0)</f>
        <v>188</v>
      </c>
      <c r="J46" s="136">
        <f>VLOOKUP($B46,Quali!$B:$N,10,0)</f>
        <v>171</v>
      </c>
      <c r="K46" s="136">
        <f>VLOOKUP($B46,Quali!$B:$N,11,0)</f>
        <v>203</v>
      </c>
      <c r="L46" s="136">
        <f>VLOOKUP($B46,Quali!$B:$N,12,0)</f>
        <v>202</v>
      </c>
      <c r="M46" s="142">
        <f>VLOOKUP($B46,Quali!$B:$N,13,0)</f>
        <v>213</v>
      </c>
      <c r="N46" s="140">
        <f>VLOOKUP($B46,'Zwischenrunde 16'!$B:$J,6,0)</f>
        <v>173</v>
      </c>
      <c r="O46" s="136">
        <f>VLOOKUP($B46,'Zwischenrunde 16'!$B:$J,7,0)</f>
        <v>194</v>
      </c>
      <c r="P46" s="136">
        <f>VLOOKUP($B46,'Zwischenrunde 16'!$B:$J,8,0)</f>
        <v>153</v>
      </c>
      <c r="Q46" s="136">
        <f>VLOOKUP($B46,'Zwischenrunde 16'!$B:$J,9,0)</f>
        <v>181</v>
      </c>
      <c r="R46" s="136"/>
      <c r="S46" s="136"/>
      <c r="T46" s="136"/>
      <c r="U46" s="136"/>
      <c r="V46" s="136"/>
      <c r="W46" s="136"/>
      <c r="X46" s="136"/>
      <c r="Y46" s="136">
        <f>SUM(F46:X46)</f>
        <v>2344</v>
      </c>
      <c r="Z46" s="136">
        <f>COUNT(F46:X46)</f>
        <v>12</v>
      </c>
      <c r="AA46" s="137">
        <f>Y46/Z46</f>
        <v>195.33333333333334</v>
      </c>
      <c r="AB46" s="135">
        <f>D46*Z46</f>
        <v>132</v>
      </c>
      <c r="AC46" s="135">
        <f>Y46+AB46</f>
        <v>2476</v>
      </c>
      <c r="AD46" s="145">
        <f>AD47</f>
        <v>5024</v>
      </c>
    </row>
    <row r="47" spans="1:30" s="12" customFormat="1" ht="18" customHeight="1">
      <c r="A47" s="133">
        <v>36</v>
      </c>
      <c r="B47" s="134" t="s">
        <v>109</v>
      </c>
      <c r="C47" s="135" t="s">
        <v>94</v>
      </c>
      <c r="D47" s="135">
        <v>1</v>
      </c>
      <c r="E47" s="135"/>
      <c r="F47" s="136">
        <f>VLOOKUP($B47,Quali!$B:$N,6,0)</f>
        <v>193</v>
      </c>
      <c r="G47" s="136">
        <f>VLOOKUP($B47,Quali!$B:$N,7,0)</f>
        <v>201</v>
      </c>
      <c r="H47" s="136">
        <f>VLOOKUP($B47,Quali!$B:$N,8,0)</f>
        <v>299</v>
      </c>
      <c r="I47" s="136">
        <f>VLOOKUP($B47,Quali!$B:$N,9,0)</f>
        <v>226</v>
      </c>
      <c r="J47" s="136">
        <f>VLOOKUP($B47,Quali!$B:$N,10,0)</f>
        <v>221</v>
      </c>
      <c r="K47" s="136">
        <f>VLOOKUP($B47,Quali!$B:$N,11,0)</f>
        <v>203</v>
      </c>
      <c r="L47" s="136">
        <f>VLOOKUP($B47,Quali!$B:$N,12,0)</f>
        <v>204</v>
      </c>
      <c r="M47" s="142">
        <f>VLOOKUP($B47,Quali!$B:$N,13,0)</f>
        <v>202</v>
      </c>
      <c r="N47" s="141">
        <f>VLOOKUP($B47,'Zwischenrunde 16'!$B:$J,6,0)</f>
        <v>236</v>
      </c>
      <c r="O47" s="135">
        <f>VLOOKUP($B47,'Zwischenrunde 16'!$B:$J,7,0)</f>
        <v>184</v>
      </c>
      <c r="P47" s="135">
        <f>VLOOKUP($B47,'Zwischenrunde 16'!$B:$J,8,0)</f>
        <v>223</v>
      </c>
      <c r="Q47" s="135">
        <f>VLOOKUP($B47,'Zwischenrunde 16'!$B:$J,9,0)</f>
        <v>144</v>
      </c>
      <c r="R47" s="135"/>
      <c r="S47" s="135"/>
      <c r="T47" s="135"/>
      <c r="U47" s="135"/>
      <c r="V47" s="135"/>
      <c r="W47" s="135"/>
      <c r="X47" s="135"/>
      <c r="Y47" s="135">
        <f>SUM(F47:X47)</f>
        <v>2536</v>
      </c>
      <c r="Z47" s="135">
        <f>COUNT(F47:X47)</f>
        <v>12</v>
      </c>
      <c r="AA47" s="137">
        <f>Y47/Z47</f>
        <v>211.33333333333334</v>
      </c>
      <c r="AB47" s="135">
        <f>D47*Z47</f>
        <v>12</v>
      </c>
      <c r="AC47" s="135">
        <f>Y47+AB47</f>
        <v>2548</v>
      </c>
      <c r="AD47" s="146">
        <f>SUM(AC46:AC47)</f>
        <v>5024</v>
      </c>
    </row>
    <row r="48" spans="1:30" s="12" customFormat="1" ht="18" customHeight="1">
      <c r="A48" s="133">
        <v>37</v>
      </c>
      <c r="B48" s="134" t="s">
        <v>93</v>
      </c>
      <c r="C48" s="135" t="s">
        <v>94</v>
      </c>
      <c r="D48" s="135">
        <v>18</v>
      </c>
      <c r="E48" s="135"/>
      <c r="F48" s="136">
        <f>VLOOKUP($B48,Quali!$B:$N,6,0)</f>
        <v>162</v>
      </c>
      <c r="G48" s="136">
        <f>VLOOKUP($B48,Quali!$B:$N,7,0)</f>
        <v>166</v>
      </c>
      <c r="H48" s="136">
        <f>VLOOKUP($B48,Quali!$B:$N,8,0)</f>
        <v>206</v>
      </c>
      <c r="I48" s="136">
        <f>VLOOKUP($B48,Quali!$B:$N,9,0)</f>
        <v>198</v>
      </c>
      <c r="J48" s="136">
        <f>VLOOKUP($B48,Quali!$B:$N,10,0)</f>
        <v>201</v>
      </c>
      <c r="K48" s="136">
        <f>VLOOKUP($B48,Quali!$B:$N,11,0)</f>
        <v>177</v>
      </c>
      <c r="L48" s="136">
        <f>VLOOKUP($B48,Quali!$B:$N,12,0)</f>
        <v>182</v>
      </c>
      <c r="M48" s="142">
        <f>VLOOKUP($B48,Quali!$B:$N,13,0)</f>
        <v>196</v>
      </c>
      <c r="N48" s="140"/>
      <c r="O48" s="136"/>
      <c r="P48" s="136"/>
      <c r="Q48" s="136"/>
      <c r="R48" s="136"/>
      <c r="S48" s="136"/>
      <c r="T48" s="136"/>
      <c r="U48" s="136"/>
      <c r="V48" s="136"/>
      <c r="W48" s="136"/>
      <c r="X48" s="136"/>
      <c r="Y48" s="136">
        <f>SUM(F48:X48)</f>
        <v>1488</v>
      </c>
      <c r="Z48" s="136">
        <f>COUNT(F48:X48)</f>
        <v>8</v>
      </c>
      <c r="AA48" s="137">
        <f>Y48/Z48</f>
        <v>186</v>
      </c>
      <c r="AB48" s="135">
        <f>D48*Z48</f>
        <v>144</v>
      </c>
      <c r="AC48" s="135">
        <f>Y48+AB48</f>
        <v>1632</v>
      </c>
      <c r="AD48" s="145">
        <f>AD49</f>
        <v>3136</v>
      </c>
    </row>
    <row r="49" spans="1:30" s="12" customFormat="1" ht="18" customHeight="1">
      <c r="A49" s="133">
        <v>38</v>
      </c>
      <c r="B49" s="134" t="s">
        <v>95</v>
      </c>
      <c r="C49" s="135" t="s">
        <v>94</v>
      </c>
      <c r="D49" s="135">
        <v>17</v>
      </c>
      <c r="E49" s="135"/>
      <c r="F49" s="136">
        <f>VLOOKUP($B49,Quali!$B:$N,6,0)</f>
        <v>167</v>
      </c>
      <c r="G49" s="136">
        <f>VLOOKUP($B49,Quali!$B:$N,7,0)</f>
        <v>209</v>
      </c>
      <c r="H49" s="136">
        <f>VLOOKUP($B49,Quali!$B:$N,8,0)</f>
        <v>189</v>
      </c>
      <c r="I49" s="136">
        <f>VLOOKUP($B49,Quali!$B:$N,9,0)</f>
        <v>128</v>
      </c>
      <c r="J49" s="136">
        <f>VLOOKUP($B49,Quali!$B:$N,10,0)</f>
        <v>144</v>
      </c>
      <c r="K49" s="136">
        <f>VLOOKUP($B49,Quali!$B:$N,11,0)</f>
        <v>163</v>
      </c>
      <c r="L49" s="136">
        <f>VLOOKUP($B49,Quali!$B:$N,12,0)</f>
        <v>187</v>
      </c>
      <c r="M49" s="142">
        <f>VLOOKUP($B49,Quali!$B:$N,13,0)</f>
        <v>181</v>
      </c>
      <c r="N49" s="140"/>
      <c r="O49" s="136"/>
      <c r="P49" s="136"/>
      <c r="Q49" s="136"/>
      <c r="R49" s="136"/>
      <c r="S49" s="136"/>
      <c r="T49" s="136"/>
      <c r="U49" s="136"/>
      <c r="V49" s="136"/>
      <c r="W49" s="136"/>
      <c r="X49" s="136"/>
      <c r="Y49" s="135">
        <f>SUM(F49:X49)</f>
        <v>1368</v>
      </c>
      <c r="Z49" s="135">
        <f>COUNT(F49:X49)</f>
        <v>8</v>
      </c>
      <c r="AA49" s="137">
        <f>Y49/Z49</f>
        <v>171</v>
      </c>
      <c r="AB49" s="135">
        <f>D49*Z49</f>
        <v>136</v>
      </c>
      <c r="AC49" s="135">
        <f>Y49+AB49</f>
        <v>1504</v>
      </c>
      <c r="AD49" s="147">
        <f>SUM(AC48:AC49)</f>
        <v>3136</v>
      </c>
    </row>
    <row r="50" spans="1:30" s="12" customFormat="1" ht="18" customHeight="1">
      <c r="A50" s="133">
        <v>39</v>
      </c>
      <c r="B50" s="134" t="s">
        <v>98</v>
      </c>
      <c r="C50" s="135" t="s">
        <v>94</v>
      </c>
      <c r="D50" s="135">
        <v>11</v>
      </c>
      <c r="E50" s="135"/>
      <c r="F50" s="136">
        <f>VLOOKUP($B50,Quali!$B:$N,6,0)</f>
        <v>181</v>
      </c>
      <c r="G50" s="136">
        <f>VLOOKUP($B50,Quali!$B:$N,7,0)</f>
        <v>187</v>
      </c>
      <c r="H50" s="136">
        <f>VLOOKUP($B50,Quali!$B:$N,8,0)</f>
        <v>208</v>
      </c>
      <c r="I50" s="136">
        <f>VLOOKUP($B50,Quali!$B:$N,9,0)</f>
        <v>224</v>
      </c>
      <c r="J50" s="136">
        <f>VLOOKUP($B50,Quali!$B:$N,10,0)</f>
        <v>219</v>
      </c>
      <c r="K50" s="136">
        <f>VLOOKUP($B50,Quali!$B:$N,11,0)</f>
        <v>169</v>
      </c>
      <c r="L50" s="136">
        <f>VLOOKUP($B50,Quali!$B:$N,12,0)</f>
        <v>167</v>
      </c>
      <c r="M50" s="142">
        <f>VLOOKUP($B50,Quali!$B:$N,13,0)</f>
        <v>148</v>
      </c>
      <c r="N50" s="140"/>
      <c r="O50" s="136"/>
      <c r="P50" s="136"/>
      <c r="Q50" s="136"/>
      <c r="R50" s="136"/>
      <c r="S50" s="136"/>
      <c r="T50" s="136"/>
      <c r="U50" s="136"/>
      <c r="V50" s="136"/>
      <c r="W50" s="136"/>
      <c r="X50" s="136"/>
      <c r="Y50" s="136">
        <f>SUM(F50:X50)</f>
        <v>1503</v>
      </c>
      <c r="Z50" s="136">
        <f>COUNT(F50:X50)</f>
        <v>8</v>
      </c>
      <c r="AA50" s="137">
        <f>Y50/Z50</f>
        <v>187.875</v>
      </c>
      <c r="AB50" s="135">
        <f>D50*Z50</f>
        <v>88</v>
      </c>
      <c r="AC50" s="135">
        <f>Y50+AB50</f>
        <v>1591</v>
      </c>
      <c r="AD50" s="145">
        <f>AD51</f>
        <v>3106</v>
      </c>
    </row>
    <row r="51" spans="1:30" s="12" customFormat="1" ht="18" customHeight="1">
      <c r="A51" s="133">
        <v>40</v>
      </c>
      <c r="B51" s="134" t="s">
        <v>126</v>
      </c>
      <c r="C51" s="135" t="s">
        <v>94</v>
      </c>
      <c r="D51" s="135">
        <v>13</v>
      </c>
      <c r="E51" s="135"/>
      <c r="F51" s="136">
        <f>VLOOKUP($B51,Quali!$B:$N,6,0)</f>
        <v>171</v>
      </c>
      <c r="G51" s="136">
        <f>VLOOKUP($B51,Quali!$B:$N,7,0)</f>
        <v>146</v>
      </c>
      <c r="H51" s="136">
        <f>VLOOKUP($B51,Quali!$B:$N,8,0)</f>
        <v>152</v>
      </c>
      <c r="I51" s="136">
        <f>VLOOKUP($B51,Quali!$B:$N,9,0)</f>
        <v>189</v>
      </c>
      <c r="J51" s="136">
        <f>VLOOKUP($B51,Quali!$B:$N,10,0)</f>
        <v>174</v>
      </c>
      <c r="K51" s="136">
        <f>VLOOKUP($B51,Quali!$B:$N,11,0)</f>
        <v>171</v>
      </c>
      <c r="L51" s="136">
        <f>VLOOKUP($B51,Quali!$B:$N,12,0)</f>
        <v>186</v>
      </c>
      <c r="M51" s="142">
        <f>VLOOKUP($B51,Quali!$B:$N,13,0)</f>
        <v>181</v>
      </c>
      <c r="N51" s="140"/>
      <c r="O51" s="136"/>
      <c r="P51" s="136"/>
      <c r="Q51" s="136"/>
      <c r="R51" s="136"/>
      <c r="S51" s="136"/>
      <c r="T51" s="136"/>
      <c r="U51" s="136"/>
      <c r="V51" s="136"/>
      <c r="W51" s="136"/>
      <c r="X51" s="136"/>
      <c r="Y51" s="136">
        <f>SUM(F51:X51)</f>
        <v>1370</v>
      </c>
      <c r="Z51" s="136">
        <f>COUNT(F51:X51)</f>
        <v>8</v>
      </c>
      <c r="AA51" s="137">
        <f>Y51/Z51</f>
        <v>171.25</v>
      </c>
      <c r="AB51" s="135">
        <f>D51*Z51</f>
        <v>104</v>
      </c>
      <c r="AC51" s="135">
        <f>Y51+AB51</f>
        <v>1474</v>
      </c>
      <c r="AD51" s="145">
        <f>AD52</f>
        <v>3106</v>
      </c>
    </row>
    <row r="52" spans="1:30" s="12" customFormat="1" ht="18" customHeight="1">
      <c r="A52" s="133">
        <v>115</v>
      </c>
      <c r="B52" s="134" t="s">
        <v>127</v>
      </c>
      <c r="C52" s="135" t="s">
        <v>94</v>
      </c>
      <c r="D52" s="135">
        <v>17</v>
      </c>
      <c r="E52" s="135"/>
      <c r="F52" s="136">
        <f>VLOOKUP($B52,Quali!$B:$N,6,0)</f>
        <v>178</v>
      </c>
      <c r="G52" s="136">
        <f>VLOOKUP($B52,Quali!$B:$N,7,0)</f>
        <v>225</v>
      </c>
      <c r="H52" s="136">
        <f>VLOOKUP($B52,Quali!$B:$N,8,0)</f>
        <v>196</v>
      </c>
      <c r="I52" s="136">
        <f>VLOOKUP($B52,Quali!$B:$N,9,0)</f>
        <v>200</v>
      </c>
      <c r="J52" s="136">
        <f>VLOOKUP($B52,Quali!$B:$N,10,0)</f>
        <v>178</v>
      </c>
      <c r="K52" s="136">
        <f>VLOOKUP($B52,Quali!$B:$N,11,0)</f>
        <v>170</v>
      </c>
      <c r="L52" s="136">
        <f>VLOOKUP($B52,Quali!$B:$N,12,0)</f>
        <v>166</v>
      </c>
      <c r="M52" s="142">
        <f>VLOOKUP($B52,Quali!$B:$N,13,0)</f>
        <v>183</v>
      </c>
      <c r="N52" s="140"/>
      <c r="O52" s="136"/>
      <c r="P52" s="136"/>
      <c r="Q52" s="136"/>
      <c r="R52" s="136"/>
      <c r="S52" s="136"/>
      <c r="T52" s="136"/>
      <c r="U52" s="136"/>
      <c r="V52" s="136"/>
      <c r="W52" s="136"/>
      <c r="X52" s="136"/>
      <c r="Y52" s="135">
        <f>SUM(F52:X52)</f>
        <v>1496</v>
      </c>
      <c r="Z52" s="135">
        <f>COUNT(F52:X52)</f>
        <v>8</v>
      </c>
      <c r="AA52" s="137">
        <f>Y52/Z52</f>
        <v>187</v>
      </c>
      <c r="AB52" s="135">
        <f>D52*Z52</f>
        <v>136</v>
      </c>
      <c r="AC52" s="135">
        <f>Y52+AB52</f>
        <v>1632</v>
      </c>
      <c r="AD52" s="147">
        <f>SUM(AC51:AC52)</f>
        <v>3106</v>
      </c>
    </row>
    <row r="53" spans="1:30" s="12" customFormat="1" ht="18" customHeight="1">
      <c r="A53" s="133">
        <v>116</v>
      </c>
      <c r="B53" s="134" t="s">
        <v>114</v>
      </c>
      <c r="C53" s="135" t="s">
        <v>94</v>
      </c>
      <c r="D53" s="135">
        <v>4</v>
      </c>
      <c r="E53" s="135"/>
      <c r="F53" s="136">
        <f>VLOOKUP($B53,Quali!$B:$N,6,0)</f>
        <v>213</v>
      </c>
      <c r="G53" s="136">
        <f>VLOOKUP($B53,Quali!$B:$N,7,0)</f>
        <v>184</v>
      </c>
      <c r="H53" s="136">
        <f>VLOOKUP($B53,Quali!$B:$N,8,0)</f>
        <v>235</v>
      </c>
      <c r="I53" s="136">
        <f>VLOOKUP($B53,Quali!$B:$N,9,0)</f>
        <v>183</v>
      </c>
      <c r="J53" s="136">
        <f>VLOOKUP($B53,Quali!$B:$N,10,0)</f>
        <v>222</v>
      </c>
      <c r="K53" s="136">
        <f>VLOOKUP($B53,Quali!$B:$N,11,0)</f>
        <v>182</v>
      </c>
      <c r="L53" s="136">
        <f>VLOOKUP($B53,Quali!$B:$N,12,0)</f>
        <v>216</v>
      </c>
      <c r="M53" s="142">
        <f>VLOOKUP($B53,Quali!$B:$N,13,0)</f>
        <v>209</v>
      </c>
      <c r="N53" s="140"/>
      <c r="O53" s="136"/>
      <c r="P53" s="136"/>
      <c r="Q53" s="136"/>
      <c r="R53" s="136"/>
      <c r="S53" s="136"/>
      <c r="T53" s="136"/>
      <c r="U53" s="136"/>
      <c r="V53" s="136"/>
      <c r="W53" s="136"/>
      <c r="X53" s="136"/>
      <c r="Y53" s="136">
        <f>SUM(F53:X53)</f>
        <v>1644</v>
      </c>
      <c r="Z53" s="136">
        <f>COUNT(F53:X53)</f>
        <v>8</v>
      </c>
      <c r="AA53" s="137">
        <f>Y53/Z53</f>
        <v>205.5</v>
      </c>
      <c r="AB53" s="135">
        <f>D53*Z53</f>
        <v>32</v>
      </c>
      <c r="AC53" s="135">
        <f>Y53+AB53</f>
        <v>1676</v>
      </c>
      <c r="AD53" s="145">
        <f>AD54</f>
        <v>3093</v>
      </c>
    </row>
    <row r="54" spans="1:30" s="12" customFormat="1" ht="18" customHeight="1">
      <c r="A54" s="133">
        <v>41</v>
      </c>
      <c r="B54" s="134" t="s">
        <v>181</v>
      </c>
      <c r="C54" s="135" t="s">
        <v>94</v>
      </c>
      <c r="D54" s="135">
        <v>13</v>
      </c>
      <c r="E54" s="135"/>
      <c r="F54" s="136">
        <f>VLOOKUP($B54,Quali!$B:$N,6,0)</f>
        <v>133</v>
      </c>
      <c r="G54" s="136">
        <f>VLOOKUP($B54,Quali!$B:$N,7,0)</f>
        <v>180</v>
      </c>
      <c r="H54" s="136">
        <f>VLOOKUP($B54,Quali!$B:$N,8,0)</f>
        <v>163</v>
      </c>
      <c r="I54" s="136">
        <f>VLOOKUP($B54,Quali!$B:$N,9,0)</f>
        <v>173</v>
      </c>
      <c r="J54" s="136">
        <f>VLOOKUP($B54,Quali!$B:$N,10,0)</f>
        <v>173</v>
      </c>
      <c r="K54" s="136">
        <f>VLOOKUP($B54,Quali!$B:$N,11,0)</f>
        <v>202</v>
      </c>
      <c r="L54" s="136">
        <f>VLOOKUP($B54,Quali!$B:$N,12,0)</f>
        <v>145</v>
      </c>
      <c r="M54" s="142">
        <f>VLOOKUP($B54,Quali!$B:$N,13,0)</f>
        <v>144</v>
      </c>
      <c r="N54" s="140"/>
      <c r="O54" s="136"/>
      <c r="P54" s="136"/>
      <c r="Q54" s="136"/>
      <c r="R54" s="136"/>
      <c r="S54" s="136"/>
      <c r="T54" s="136"/>
      <c r="U54" s="136"/>
      <c r="V54" s="136"/>
      <c r="W54" s="136"/>
      <c r="X54" s="136"/>
      <c r="Y54" s="135">
        <f>SUM(F54:X54)</f>
        <v>1313</v>
      </c>
      <c r="Z54" s="135">
        <f>COUNT(F54:X54)</f>
        <v>8</v>
      </c>
      <c r="AA54" s="137">
        <f>Y54/Z54</f>
        <v>164.125</v>
      </c>
      <c r="AB54" s="135">
        <f>D54*Z54</f>
        <v>104</v>
      </c>
      <c r="AC54" s="135">
        <f>Y54+AB54</f>
        <v>1417</v>
      </c>
      <c r="AD54" s="147">
        <f>SUM(AC53:AC54)</f>
        <v>3093</v>
      </c>
    </row>
    <row r="55" spans="1:30" s="12" customFormat="1" ht="18" customHeight="1">
      <c r="A55" s="133">
        <v>42</v>
      </c>
      <c r="B55" s="134" t="s">
        <v>145</v>
      </c>
      <c r="C55" s="135" t="s">
        <v>94</v>
      </c>
      <c r="D55" s="135">
        <v>7</v>
      </c>
      <c r="E55" s="135"/>
      <c r="F55" s="136">
        <f>VLOOKUP($B55,Quali!$B:$N,6,0)</f>
        <v>141</v>
      </c>
      <c r="G55" s="136">
        <f>VLOOKUP($B55,Quali!$B:$N,7,0)</f>
        <v>170</v>
      </c>
      <c r="H55" s="136">
        <f>VLOOKUP($B55,Quali!$B:$N,8,0)</f>
        <v>200</v>
      </c>
      <c r="I55" s="136">
        <f>VLOOKUP($B55,Quali!$B:$N,9,0)</f>
        <v>178</v>
      </c>
      <c r="J55" s="136">
        <f>VLOOKUP($B55,Quali!$B:$N,10,0)</f>
        <v>171</v>
      </c>
      <c r="K55" s="136">
        <f>VLOOKUP($B55,Quali!$B:$N,11,0)</f>
        <v>189</v>
      </c>
      <c r="L55" s="136">
        <f>VLOOKUP($B55,Quali!$B:$N,12,0)</f>
        <v>241</v>
      </c>
      <c r="M55" s="142">
        <f>VLOOKUP($B55,Quali!$B:$N,13,0)</f>
        <v>216</v>
      </c>
      <c r="N55" s="140"/>
      <c r="O55" s="136"/>
      <c r="P55" s="136"/>
      <c r="Q55" s="136"/>
      <c r="R55" s="136"/>
      <c r="S55" s="136"/>
      <c r="T55" s="136"/>
      <c r="U55" s="136"/>
      <c r="V55" s="136"/>
      <c r="W55" s="136"/>
      <c r="X55" s="136"/>
      <c r="Y55" s="135">
        <f>SUM(F55:X55)</f>
        <v>1506</v>
      </c>
      <c r="Z55" s="135">
        <f>COUNT(F55:X55)</f>
        <v>8</v>
      </c>
      <c r="AA55" s="137">
        <f>Y55/Z55</f>
        <v>188.25</v>
      </c>
      <c r="AB55" s="135">
        <f>D55*Z55</f>
        <v>56</v>
      </c>
      <c r="AC55" s="135">
        <f>Y55+AB55</f>
        <v>1562</v>
      </c>
      <c r="AD55" s="147">
        <f>SUM(AC54:AC55)</f>
        <v>2979</v>
      </c>
    </row>
    <row r="56" spans="1:30" s="12" customFormat="1" ht="18" customHeight="1">
      <c r="A56" s="133">
        <v>43</v>
      </c>
      <c r="B56" s="134" t="s">
        <v>96</v>
      </c>
      <c r="C56" s="135" t="s">
        <v>94</v>
      </c>
      <c r="D56" s="135">
        <v>11</v>
      </c>
      <c r="E56" s="135" t="s">
        <v>166</v>
      </c>
      <c r="F56" s="136">
        <f>VLOOKUP($B56,Quali!$B:$N,6,0)</f>
        <v>243</v>
      </c>
      <c r="G56" s="136">
        <f>VLOOKUP($B56,Quali!$B:$N,7,0)</f>
        <v>148</v>
      </c>
      <c r="H56" s="136">
        <f>VLOOKUP($B56,Quali!$B:$N,8,0)</f>
        <v>157</v>
      </c>
      <c r="I56" s="136">
        <f>VLOOKUP($B56,Quali!$B:$N,9,0)</f>
        <v>171</v>
      </c>
      <c r="J56" s="136">
        <f>VLOOKUP($B56,Quali!$B:$N,10,0)</f>
        <v>166</v>
      </c>
      <c r="K56" s="136">
        <f>VLOOKUP($B56,Quali!$B:$N,11,0)</f>
        <v>201</v>
      </c>
      <c r="L56" s="136">
        <f>VLOOKUP($B56,Quali!$B:$N,12,0)</f>
        <v>187</v>
      </c>
      <c r="M56" s="142">
        <f>VLOOKUP($B56,Quali!$B:$N,13,0)</f>
        <v>164</v>
      </c>
      <c r="N56" s="140"/>
      <c r="O56" s="136"/>
      <c r="P56" s="136"/>
      <c r="Q56" s="136"/>
      <c r="R56" s="136"/>
      <c r="S56" s="136"/>
      <c r="T56" s="136"/>
      <c r="U56" s="136"/>
      <c r="V56" s="136"/>
      <c r="W56" s="136"/>
      <c r="X56" s="136"/>
      <c r="Y56" s="136">
        <f>SUM(F56:X56)</f>
        <v>1437</v>
      </c>
      <c r="Z56" s="136">
        <f>COUNT(F56:X56)</f>
        <v>8</v>
      </c>
      <c r="AA56" s="137">
        <f>Y56/Z56</f>
        <v>179.625</v>
      </c>
      <c r="AB56" s="135">
        <f>D56*Z56</f>
        <v>88</v>
      </c>
      <c r="AC56" s="135">
        <f>Y56+AB56</f>
        <v>1525</v>
      </c>
      <c r="AD56" s="145">
        <f>AD57</f>
        <v>3036</v>
      </c>
    </row>
    <row r="57" spans="1:30" s="12" customFormat="1" ht="18" customHeight="1">
      <c r="A57" s="133">
        <v>44</v>
      </c>
      <c r="B57" s="134" t="s">
        <v>97</v>
      </c>
      <c r="C57" s="135" t="s">
        <v>94</v>
      </c>
      <c r="D57" s="135">
        <v>29</v>
      </c>
      <c r="E57" s="135" t="s">
        <v>166</v>
      </c>
      <c r="F57" s="136">
        <f>VLOOKUP($B57,Quali!$B:$N,6,0)</f>
        <v>113</v>
      </c>
      <c r="G57" s="136">
        <f>VLOOKUP($B57,Quali!$B:$N,7,0)</f>
        <v>134</v>
      </c>
      <c r="H57" s="136">
        <f>VLOOKUP($B57,Quali!$B:$N,8,0)</f>
        <v>206</v>
      </c>
      <c r="I57" s="136">
        <f>VLOOKUP($B57,Quali!$B:$N,9,0)</f>
        <v>122</v>
      </c>
      <c r="J57" s="136">
        <f>VLOOKUP($B57,Quali!$B:$N,10,0)</f>
        <v>144</v>
      </c>
      <c r="K57" s="136">
        <f>VLOOKUP($B57,Quali!$B:$N,11,0)</f>
        <v>194</v>
      </c>
      <c r="L57" s="136">
        <f>VLOOKUP($B57,Quali!$B:$N,12,0)</f>
        <v>208</v>
      </c>
      <c r="M57" s="142">
        <f>VLOOKUP($B57,Quali!$B:$N,13,0)</f>
        <v>158</v>
      </c>
      <c r="N57" s="140"/>
      <c r="O57" s="136"/>
      <c r="P57" s="136"/>
      <c r="Q57" s="136"/>
      <c r="R57" s="136"/>
      <c r="S57" s="136"/>
      <c r="T57" s="136"/>
      <c r="U57" s="136"/>
      <c r="V57" s="136"/>
      <c r="W57" s="136"/>
      <c r="X57" s="136"/>
      <c r="Y57" s="135">
        <f>SUM(F57:X57)</f>
        <v>1279</v>
      </c>
      <c r="Z57" s="135">
        <f>COUNT(F57:X57)</f>
        <v>8</v>
      </c>
      <c r="AA57" s="137">
        <f>Y57/Z57</f>
        <v>159.875</v>
      </c>
      <c r="AB57" s="135">
        <f>D57*Z57</f>
        <v>232</v>
      </c>
      <c r="AC57" s="135">
        <f>Y57+AB57</f>
        <v>1511</v>
      </c>
      <c r="AD57" s="147">
        <f>SUM(AC56:AC57)</f>
        <v>3036</v>
      </c>
    </row>
    <row r="58" spans="1:30" s="12" customFormat="1" ht="18" customHeight="1">
      <c r="A58" s="133">
        <v>45</v>
      </c>
      <c r="B58" s="134" t="s">
        <v>25</v>
      </c>
      <c r="C58" s="135" t="s">
        <v>94</v>
      </c>
      <c r="D58" s="135">
        <v>4</v>
      </c>
      <c r="E58" s="135"/>
      <c r="F58" s="136">
        <f>VLOOKUP($B58,Quali!$B:$N,6,0)</f>
        <v>156</v>
      </c>
      <c r="G58" s="136">
        <f>VLOOKUP($B58,Quali!$B:$N,7,0)</f>
        <v>201</v>
      </c>
      <c r="H58" s="136">
        <f>VLOOKUP($B58,Quali!$B:$N,8,0)</f>
        <v>148</v>
      </c>
      <c r="I58" s="136">
        <f>VLOOKUP($B58,Quali!$B:$N,9,0)</f>
        <v>147</v>
      </c>
      <c r="J58" s="136">
        <f>VLOOKUP($B58,Quali!$B:$N,10,0)</f>
        <v>211</v>
      </c>
      <c r="K58" s="136">
        <f>VLOOKUP($B58,Quali!$B:$N,11,0)</f>
        <v>223</v>
      </c>
      <c r="L58" s="136">
        <f>VLOOKUP($B58,Quali!$B:$N,12,0)</f>
        <v>146</v>
      </c>
      <c r="M58" s="142">
        <f>VLOOKUP($B58,Quali!$B:$N,13,0)</f>
        <v>183</v>
      </c>
      <c r="N58" s="140"/>
      <c r="O58" s="136"/>
      <c r="P58" s="136"/>
      <c r="Q58" s="136"/>
      <c r="R58" s="136"/>
      <c r="S58" s="136"/>
      <c r="T58" s="136"/>
      <c r="U58" s="136"/>
      <c r="V58" s="136"/>
      <c r="W58" s="136"/>
      <c r="X58" s="136"/>
      <c r="Y58" s="136">
        <f>SUM(F58:X58)</f>
        <v>1415</v>
      </c>
      <c r="Z58" s="136">
        <f>COUNT(F58:X58)</f>
        <v>8</v>
      </c>
      <c r="AA58" s="137">
        <f>Y58/Z58</f>
        <v>176.875</v>
      </c>
      <c r="AB58" s="135">
        <f>D58*Z58</f>
        <v>32</v>
      </c>
      <c r="AC58" s="135">
        <f>Y58+AB58</f>
        <v>1447</v>
      </c>
      <c r="AD58" s="145">
        <f>AD59</f>
        <v>2959</v>
      </c>
    </row>
    <row r="59" spans="1:30" s="12" customFormat="1" ht="18" customHeight="1">
      <c r="A59" s="133">
        <v>46</v>
      </c>
      <c r="B59" s="134" t="s">
        <v>22</v>
      </c>
      <c r="C59" s="135" t="s">
        <v>94</v>
      </c>
      <c r="D59" s="135">
        <v>7</v>
      </c>
      <c r="E59" s="135"/>
      <c r="F59" s="136">
        <f>VLOOKUP($B59,Quali!$B:$N,6,0)</f>
        <v>202</v>
      </c>
      <c r="G59" s="136">
        <f>VLOOKUP($B59,Quali!$B:$N,7,0)</f>
        <v>197</v>
      </c>
      <c r="H59" s="136">
        <f>VLOOKUP($B59,Quali!$B:$N,8,0)</f>
        <v>159</v>
      </c>
      <c r="I59" s="136">
        <f>VLOOKUP($B59,Quali!$B:$N,9,0)</f>
        <v>156</v>
      </c>
      <c r="J59" s="136">
        <f>VLOOKUP($B59,Quali!$B:$N,10,0)</f>
        <v>183</v>
      </c>
      <c r="K59" s="136">
        <f>VLOOKUP($B59,Quali!$B:$N,11,0)</f>
        <v>191</v>
      </c>
      <c r="L59" s="136">
        <f>VLOOKUP($B59,Quali!$B:$N,12,0)</f>
        <v>164</v>
      </c>
      <c r="M59" s="142">
        <f>VLOOKUP($B59,Quali!$B:$N,13,0)</f>
        <v>204</v>
      </c>
      <c r="N59" s="140"/>
      <c r="O59" s="136"/>
      <c r="P59" s="136"/>
      <c r="Q59" s="136"/>
      <c r="R59" s="136"/>
      <c r="S59" s="136"/>
      <c r="T59" s="136"/>
      <c r="U59" s="136"/>
      <c r="V59" s="136"/>
      <c r="W59" s="136"/>
      <c r="X59" s="136"/>
      <c r="Y59" s="135">
        <f>SUM(F59:X59)</f>
        <v>1456</v>
      </c>
      <c r="Z59" s="135">
        <f>COUNT(F59:X59)</f>
        <v>8</v>
      </c>
      <c r="AA59" s="137">
        <f>Y59/Z59</f>
        <v>182</v>
      </c>
      <c r="AB59" s="135">
        <f>D59*Z59</f>
        <v>56</v>
      </c>
      <c r="AC59" s="135">
        <f>Y59+AB59</f>
        <v>1512</v>
      </c>
      <c r="AD59" s="147">
        <f>SUM(AC58:AC59)</f>
        <v>2959</v>
      </c>
    </row>
    <row r="60" spans="1:30" s="12" customFormat="1" ht="18" customHeight="1">
      <c r="A60" s="133">
        <v>47</v>
      </c>
      <c r="B60" s="134" t="s">
        <v>160</v>
      </c>
      <c r="C60" s="135" t="s">
        <v>161</v>
      </c>
      <c r="D60" s="135">
        <v>12</v>
      </c>
      <c r="E60" s="135"/>
      <c r="F60" s="136">
        <f>VLOOKUP($B60,Quali!$B:$N,6,0)</f>
        <v>193</v>
      </c>
      <c r="G60" s="136">
        <f>VLOOKUP($B60,Quali!$B:$N,7,0)</f>
        <v>180</v>
      </c>
      <c r="H60" s="136">
        <f>VLOOKUP($B60,Quali!$B:$N,8,0)</f>
        <v>157</v>
      </c>
      <c r="I60" s="136">
        <f>VLOOKUP($B60,Quali!$B:$N,9,0)</f>
        <v>212</v>
      </c>
      <c r="J60" s="136">
        <f>VLOOKUP($B60,Quali!$B:$N,10,0)</f>
        <v>169</v>
      </c>
      <c r="K60" s="136">
        <f>VLOOKUP($B60,Quali!$B:$N,11,0)</f>
        <v>160</v>
      </c>
      <c r="L60" s="136">
        <f>VLOOKUP($B60,Quali!$B:$N,12,0)</f>
        <v>212</v>
      </c>
      <c r="M60" s="142">
        <f>VLOOKUP($B60,Quali!$B:$N,13,0)</f>
        <v>172</v>
      </c>
      <c r="N60" s="140"/>
      <c r="O60" s="136"/>
      <c r="P60" s="136"/>
      <c r="Q60" s="136"/>
      <c r="R60" s="136"/>
      <c r="S60" s="136"/>
      <c r="T60" s="136"/>
      <c r="U60" s="136"/>
      <c r="V60" s="136"/>
      <c r="W60" s="136"/>
      <c r="X60" s="136"/>
      <c r="Y60" s="136">
        <f>SUM(F60:X60)</f>
        <v>1455</v>
      </c>
      <c r="Z60" s="136">
        <f>COUNT(F60:X60)</f>
        <v>8</v>
      </c>
      <c r="AA60" s="137">
        <f>Y60/Z60</f>
        <v>181.875</v>
      </c>
      <c r="AB60" s="135">
        <f>D60*Z60</f>
        <v>96</v>
      </c>
      <c r="AC60" s="135">
        <f>Y60+AB60</f>
        <v>1551</v>
      </c>
      <c r="AD60" s="145">
        <f>AD61</f>
        <v>3177</v>
      </c>
    </row>
    <row r="61" spans="1:30" s="12" customFormat="1" ht="18" customHeight="1">
      <c r="A61" s="133">
        <v>48</v>
      </c>
      <c r="B61" s="134" t="s">
        <v>162</v>
      </c>
      <c r="C61" s="135" t="s">
        <v>161</v>
      </c>
      <c r="D61" s="135">
        <v>7</v>
      </c>
      <c r="E61" s="135"/>
      <c r="F61" s="136">
        <f>VLOOKUP($B61,Quali!$B:$N,6,0)</f>
        <v>204</v>
      </c>
      <c r="G61" s="136">
        <f>VLOOKUP($B61,Quali!$B:$N,7,0)</f>
        <v>173</v>
      </c>
      <c r="H61" s="136">
        <f>VLOOKUP($B61,Quali!$B:$N,8,0)</f>
        <v>190</v>
      </c>
      <c r="I61" s="136">
        <f>VLOOKUP($B61,Quali!$B:$N,9,0)</f>
        <v>231</v>
      </c>
      <c r="J61" s="136">
        <f>VLOOKUP($B61,Quali!$B:$N,10,0)</f>
        <v>184</v>
      </c>
      <c r="K61" s="136">
        <f>VLOOKUP($B61,Quali!$B:$N,11,0)</f>
        <v>182</v>
      </c>
      <c r="L61" s="136">
        <f>VLOOKUP($B61,Quali!$B:$N,12,0)</f>
        <v>203</v>
      </c>
      <c r="M61" s="142">
        <f>VLOOKUP($B61,Quali!$B:$N,13,0)</f>
        <v>203</v>
      </c>
      <c r="N61" s="140"/>
      <c r="O61" s="136"/>
      <c r="P61" s="136"/>
      <c r="Q61" s="136"/>
      <c r="R61" s="136"/>
      <c r="S61" s="136"/>
      <c r="T61" s="136"/>
      <c r="U61" s="136"/>
      <c r="V61" s="136"/>
      <c r="W61" s="136"/>
      <c r="X61" s="136"/>
      <c r="Y61" s="135">
        <f>SUM(F61:X61)</f>
        <v>1570</v>
      </c>
      <c r="Z61" s="135">
        <f>COUNT(F61:X61)</f>
        <v>8</v>
      </c>
      <c r="AA61" s="137">
        <f>Y61/Z61</f>
        <v>196.25</v>
      </c>
      <c r="AB61" s="135">
        <f>D61*Z61</f>
        <v>56</v>
      </c>
      <c r="AC61" s="135">
        <f>Y61+AB61</f>
        <v>1626</v>
      </c>
      <c r="AD61" s="147">
        <f>SUM(AC60:AC61)</f>
        <v>3177</v>
      </c>
    </row>
    <row r="62" spans="1:30" s="12" customFormat="1" ht="18" customHeight="1">
      <c r="A62" s="133">
        <v>49</v>
      </c>
      <c r="B62" s="134" t="s">
        <v>163</v>
      </c>
      <c r="C62" s="135" t="s">
        <v>161</v>
      </c>
      <c r="D62" s="135">
        <v>26</v>
      </c>
      <c r="E62" s="135"/>
      <c r="F62" s="136">
        <f>VLOOKUP($B62,Quali!$B:$N,6,0)</f>
        <v>132</v>
      </c>
      <c r="G62" s="136">
        <f>VLOOKUP($B62,Quali!$B:$N,7,0)</f>
        <v>190</v>
      </c>
      <c r="H62" s="136">
        <f>VLOOKUP($B62,Quali!$B:$N,8,0)</f>
        <v>147</v>
      </c>
      <c r="I62" s="136">
        <f>VLOOKUP($B62,Quali!$B:$N,9,0)</f>
        <v>139</v>
      </c>
      <c r="J62" s="136">
        <f>VLOOKUP($B62,Quali!$B:$N,10,0)</f>
        <v>166</v>
      </c>
      <c r="K62" s="136">
        <f>VLOOKUP($B62,Quali!$B:$N,11,0)</f>
        <v>172</v>
      </c>
      <c r="L62" s="136">
        <f>VLOOKUP($B62,Quali!$B:$N,12,0)</f>
        <v>172</v>
      </c>
      <c r="M62" s="142">
        <f>VLOOKUP($B62,Quali!$B:$N,13,0)</f>
        <v>127</v>
      </c>
      <c r="N62" s="140"/>
      <c r="O62" s="136"/>
      <c r="P62" s="136"/>
      <c r="Q62" s="136"/>
      <c r="R62" s="136"/>
      <c r="S62" s="136"/>
      <c r="T62" s="136"/>
      <c r="U62" s="136"/>
      <c r="V62" s="136"/>
      <c r="W62" s="136"/>
      <c r="X62" s="136"/>
      <c r="Y62" s="136">
        <f>SUM(F62:X62)</f>
        <v>1245</v>
      </c>
      <c r="Z62" s="136">
        <f>COUNT(F62:X62)</f>
        <v>8</v>
      </c>
      <c r="AA62" s="137">
        <f>Y62/Z62</f>
        <v>155.625</v>
      </c>
      <c r="AB62" s="135">
        <f>D62*Z62</f>
        <v>208</v>
      </c>
      <c r="AC62" s="135">
        <f>Y62+AB62</f>
        <v>1453</v>
      </c>
      <c r="AD62" s="145">
        <f>AD63</f>
        <v>2975</v>
      </c>
    </row>
    <row r="63" spans="1:30" s="12" customFormat="1" ht="18" customHeight="1">
      <c r="A63" s="133">
        <v>50</v>
      </c>
      <c r="B63" s="134" t="s">
        <v>164</v>
      </c>
      <c r="C63" s="135" t="s">
        <v>161</v>
      </c>
      <c r="D63" s="135">
        <v>13</v>
      </c>
      <c r="E63" s="135"/>
      <c r="F63" s="136">
        <f>VLOOKUP($B63,Quali!$B:$N,6,0)</f>
        <v>178</v>
      </c>
      <c r="G63" s="136">
        <f>VLOOKUP($B63,Quali!$B:$N,7,0)</f>
        <v>208</v>
      </c>
      <c r="H63" s="136">
        <f>VLOOKUP($B63,Quali!$B:$N,8,0)</f>
        <v>201</v>
      </c>
      <c r="I63" s="136">
        <f>VLOOKUP($B63,Quali!$B:$N,9,0)</f>
        <v>130</v>
      </c>
      <c r="J63" s="136">
        <f>VLOOKUP($B63,Quali!$B:$N,10,0)</f>
        <v>166</v>
      </c>
      <c r="K63" s="136">
        <f>VLOOKUP($B63,Quali!$B:$N,11,0)</f>
        <v>170</v>
      </c>
      <c r="L63" s="136">
        <f>VLOOKUP($B63,Quali!$B:$N,12,0)</f>
        <v>158</v>
      </c>
      <c r="M63" s="142">
        <f>VLOOKUP($B63,Quali!$B:$N,13,0)</f>
        <v>207</v>
      </c>
      <c r="N63" s="140"/>
      <c r="O63" s="136"/>
      <c r="P63" s="136"/>
      <c r="Q63" s="136"/>
      <c r="R63" s="136"/>
      <c r="S63" s="136"/>
      <c r="T63" s="136"/>
      <c r="U63" s="136"/>
      <c r="V63" s="136"/>
      <c r="W63" s="136"/>
      <c r="X63" s="136"/>
      <c r="Y63" s="135">
        <f>SUM(F63:X63)</f>
        <v>1418</v>
      </c>
      <c r="Z63" s="135">
        <f>COUNT(F63:X63)</f>
        <v>8</v>
      </c>
      <c r="AA63" s="137">
        <f>Y63/Z63</f>
        <v>177.25</v>
      </c>
      <c r="AB63" s="135">
        <f>D63*Z63</f>
        <v>104</v>
      </c>
      <c r="AC63" s="135">
        <f>Y63+AB63</f>
        <v>1522</v>
      </c>
      <c r="AD63" s="147">
        <f>SUM(AC62:AC63)</f>
        <v>2975</v>
      </c>
    </row>
    <row r="64" spans="1:30" s="12" customFormat="1" ht="18" customHeight="1">
      <c r="A64" s="133">
        <v>51</v>
      </c>
      <c r="B64" s="134" t="s">
        <v>178</v>
      </c>
      <c r="C64" s="135" t="s">
        <v>99</v>
      </c>
      <c r="D64" s="135">
        <v>11</v>
      </c>
      <c r="E64" s="135" t="s">
        <v>166</v>
      </c>
      <c r="F64" s="136">
        <f>VLOOKUP($B64,Quali!$B:$N,6,0)</f>
        <v>178</v>
      </c>
      <c r="G64" s="136">
        <f>VLOOKUP($B64,Quali!$B:$N,7,0)</f>
        <v>233</v>
      </c>
      <c r="H64" s="136">
        <f>VLOOKUP($B64,Quali!$B:$N,8,0)</f>
        <v>177</v>
      </c>
      <c r="I64" s="136">
        <f>VLOOKUP($B64,Quali!$B:$N,9,0)</f>
        <v>219</v>
      </c>
      <c r="J64" s="136">
        <f>VLOOKUP($B64,Quali!$B:$N,10,0)</f>
        <v>193</v>
      </c>
      <c r="K64" s="136">
        <f>VLOOKUP($B64,Quali!$B:$N,11,0)</f>
        <v>258</v>
      </c>
      <c r="L64" s="136">
        <f>VLOOKUP($B64,Quali!$B:$N,12,0)</f>
        <v>193</v>
      </c>
      <c r="M64" s="142">
        <f>VLOOKUP($B64,Quali!$B:$N,13,0)</f>
        <v>159</v>
      </c>
      <c r="N64" s="140">
        <f>VLOOKUP($B64,'Zwischenrunde 16'!$B:$J,6,0)</f>
        <v>246</v>
      </c>
      <c r="O64" s="136">
        <f>VLOOKUP($B64,'Zwischenrunde 16'!$B:$J,7,0)</f>
        <v>224</v>
      </c>
      <c r="P64" s="136">
        <f>VLOOKUP($B64,'Zwischenrunde 16'!$B:$J,8,0)</f>
        <v>202</v>
      </c>
      <c r="Q64" s="136">
        <f>VLOOKUP($B64,'Zwischenrunde 16'!$B:$J,9,0)</f>
        <v>235</v>
      </c>
      <c r="R64" s="136">
        <f>VLOOKUP($B64,'Petersen-Rangliste'!$B$23:$M$38,6,0)</f>
        <v>176</v>
      </c>
      <c r="S64" s="136">
        <f>VLOOKUP($B64,'Petersen-Rangliste'!$B$23:$M$38,7,0)</f>
        <v>162</v>
      </c>
      <c r="T64" s="136">
        <f>VLOOKUP($B64,'Petersen-Rangliste'!$B$23:$M$38,8,0)</f>
        <v>221</v>
      </c>
      <c r="U64" s="136">
        <f>VLOOKUP($B64,'Petersen-Rangliste'!$B$23:$M$38,9,0)</f>
        <v>213</v>
      </c>
      <c r="V64" s="136">
        <f>VLOOKUP($B64,'Petersen-Rangliste'!$B$23:$M$38,10,0)</f>
        <v>209</v>
      </c>
      <c r="W64" s="136">
        <f>VLOOKUP($B64,'Petersen-Rangliste'!$B$23:$M$38,11,0)</f>
        <v>212</v>
      </c>
      <c r="X64" s="136">
        <f>VLOOKUP($B64,'Petersen-Rangliste'!$B$23:$M$38,12,0)</f>
        <v>203</v>
      </c>
      <c r="Y64" s="136">
        <f>SUM(F64:X64)</f>
        <v>3913</v>
      </c>
      <c r="Z64" s="136">
        <f>COUNT(F64:X64)</f>
        <v>19</v>
      </c>
      <c r="AA64" s="137">
        <f>Y64/Z64</f>
        <v>205.94736842105263</v>
      </c>
      <c r="AB64" s="135">
        <f>D64*Z64</f>
        <v>209</v>
      </c>
      <c r="AC64" s="135">
        <f>Y64+AB64</f>
        <v>4122</v>
      </c>
      <c r="AD64" s="145">
        <f>AD65</f>
        <v>7932</v>
      </c>
    </row>
    <row r="65" spans="1:30" s="12" customFormat="1" ht="18" customHeight="1">
      <c r="A65" s="133">
        <v>52</v>
      </c>
      <c r="B65" s="134" t="s">
        <v>182</v>
      </c>
      <c r="C65" s="135" t="s">
        <v>99</v>
      </c>
      <c r="D65" s="135">
        <v>8</v>
      </c>
      <c r="E65" s="135"/>
      <c r="F65" s="136">
        <f>VLOOKUP($B65,Quali!$B:$N,6,0)</f>
        <v>169</v>
      </c>
      <c r="G65" s="136">
        <f>VLOOKUP($B65,Quali!$B:$N,7,0)</f>
        <v>203</v>
      </c>
      <c r="H65" s="136">
        <f>VLOOKUP($B65,Quali!$B:$N,8,0)</f>
        <v>167</v>
      </c>
      <c r="I65" s="136">
        <f>VLOOKUP($B65,Quali!$B:$N,9,0)</f>
        <v>245</v>
      </c>
      <c r="J65" s="136">
        <f>VLOOKUP($B65,Quali!$B:$N,10,0)</f>
        <v>232</v>
      </c>
      <c r="K65" s="136">
        <f>VLOOKUP($B65,Quali!$B:$N,11,0)</f>
        <v>201</v>
      </c>
      <c r="L65" s="136">
        <f>VLOOKUP($B65,Quali!$B:$N,12,0)</f>
        <v>182</v>
      </c>
      <c r="M65" s="142">
        <f>VLOOKUP($B65,Quali!$B:$N,13,0)</f>
        <v>142</v>
      </c>
      <c r="N65" s="140">
        <f>VLOOKUP($B65,'Zwischenrunde 16'!$B:$J,6,0)</f>
        <v>189</v>
      </c>
      <c r="O65" s="136">
        <f>VLOOKUP($B65,'Zwischenrunde 16'!$B:$J,7,0)</f>
        <v>191</v>
      </c>
      <c r="P65" s="136">
        <f>VLOOKUP($B65,'Zwischenrunde 16'!$B:$J,8,0)</f>
        <v>191</v>
      </c>
      <c r="Q65" s="136">
        <f>VLOOKUP($B65,'Zwischenrunde 16'!$B:$J,9,0)</f>
        <v>214</v>
      </c>
      <c r="R65" s="136">
        <f>VLOOKUP($B65,'Petersen-Rangliste'!$B$23:$M$38,6,0)</f>
        <v>203</v>
      </c>
      <c r="S65" s="136">
        <f>VLOOKUP($B65,'Petersen-Rangliste'!$B$23:$M$38,7,0)</f>
        <v>176</v>
      </c>
      <c r="T65" s="136">
        <f>VLOOKUP($B65,'Petersen-Rangliste'!$B$23:$M$38,8,0)</f>
        <v>159</v>
      </c>
      <c r="U65" s="136">
        <f>VLOOKUP($B65,'Petersen-Rangliste'!$B$23:$M$38,9,0)</f>
        <v>202</v>
      </c>
      <c r="V65" s="136">
        <f>VLOOKUP($B65,'Petersen-Rangliste'!$B$23:$M$38,10,0)</f>
        <v>201</v>
      </c>
      <c r="W65" s="136">
        <f>VLOOKUP($B65,'Petersen-Rangliste'!$B$23:$M$38,11,0)</f>
        <v>233</v>
      </c>
      <c r="X65" s="136">
        <f>VLOOKUP($B65,'Petersen-Rangliste'!$B$23:$M$38,12,0)</f>
        <v>205</v>
      </c>
      <c r="Y65" s="136">
        <f>SUM(F65:X65)</f>
        <v>3705</v>
      </c>
      <c r="Z65" s="136">
        <f>COUNT(F65:X65)</f>
        <v>19</v>
      </c>
      <c r="AA65" s="137">
        <f>Y65/Z65</f>
        <v>195</v>
      </c>
      <c r="AB65" s="135">
        <f>D65*Z65</f>
        <v>152</v>
      </c>
      <c r="AC65" s="135">
        <f>Y65+AB65</f>
        <v>3857</v>
      </c>
      <c r="AD65" s="145">
        <f>AD66</f>
        <v>7932</v>
      </c>
    </row>
    <row r="66" spans="1:30" s="12" customFormat="1" ht="18" customHeight="1">
      <c r="A66" s="133">
        <v>53</v>
      </c>
      <c r="B66" s="134" t="s">
        <v>122</v>
      </c>
      <c r="C66" s="135" t="s">
        <v>99</v>
      </c>
      <c r="D66" s="135">
        <v>0</v>
      </c>
      <c r="E66" s="135"/>
      <c r="F66" s="136">
        <f>VLOOKUP($B66,Quali!$B:$N,6,0)</f>
        <v>290</v>
      </c>
      <c r="G66" s="136">
        <f>VLOOKUP($B66,Quali!$B:$N,7,0)</f>
        <v>146</v>
      </c>
      <c r="H66" s="136">
        <f>VLOOKUP($B66,Quali!$B:$N,8,0)</f>
        <v>206</v>
      </c>
      <c r="I66" s="136">
        <f>VLOOKUP($B66,Quali!$B:$N,9,0)</f>
        <v>183</v>
      </c>
      <c r="J66" s="136">
        <f>VLOOKUP($B66,Quali!$B:$N,10,0)</f>
        <v>203</v>
      </c>
      <c r="K66" s="136">
        <f>VLOOKUP($B66,Quali!$B:$N,11,0)</f>
        <v>249</v>
      </c>
      <c r="L66" s="136">
        <f>VLOOKUP($B66,Quali!$B:$N,12,0)</f>
        <v>234</v>
      </c>
      <c r="M66" s="142">
        <f>VLOOKUP($B66,Quali!$B:$N,13,0)</f>
        <v>183</v>
      </c>
      <c r="N66" s="141">
        <f>VLOOKUP($B66,'Zwischenrunde 16'!$B:$J,6,0)</f>
        <v>187</v>
      </c>
      <c r="O66" s="135">
        <f>VLOOKUP($B66,'Zwischenrunde 16'!$B:$J,7,0)</f>
        <v>223</v>
      </c>
      <c r="P66" s="135">
        <f>VLOOKUP($B66,'Zwischenrunde 16'!$B:$J,8,0)</f>
        <v>202</v>
      </c>
      <c r="Q66" s="135">
        <f>VLOOKUP($B66,'Zwischenrunde 16'!$B:$J,9,0)</f>
        <v>226</v>
      </c>
      <c r="R66" s="135">
        <f>VLOOKUP($B66,'Petersen-Rangliste'!$B$23:$M$38,6,0)</f>
        <v>235</v>
      </c>
      <c r="S66" s="135">
        <f>VLOOKUP($B66,'Petersen-Rangliste'!$B$23:$M$38,7,0)</f>
        <v>238</v>
      </c>
      <c r="T66" s="135">
        <f>VLOOKUP($B66,'Petersen-Rangliste'!$B$23:$M$38,8,0)</f>
        <v>212</v>
      </c>
      <c r="U66" s="135">
        <f>VLOOKUP($B66,'Petersen-Rangliste'!$B$23:$M$38,9,0)</f>
        <v>224</v>
      </c>
      <c r="V66" s="135">
        <f>VLOOKUP($B66,'Petersen-Rangliste'!$B$23:$M$38,10,0)</f>
        <v>183</v>
      </c>
      <c r="W66" s="135">
        <f>VLOOKUP($B66,'Petersen-Rangliste'!$B$23:$M$38,11,0)</f>
        <v>193</v>
      </c>
      <c r="X66" s="135">
        <f>VLOOKUP($B66,'Petersen-Rangliste'!$B$23:$M$38,12,0)</f>
        <v>258</v>
      </c>
      <c r="Y66" s="135">
        <f>SUM(F66:X66)</f>
        <v>4075</v>
      </c>
      <c r="Z66" s="135">
        <f>COUNT(F66:X66)</f>
        <v>19</v>
      </c>
      <c r="AA66" s="137">
        <f>Y66/Z66</f>
        <v>214.47368421052633</v>
      </c>
      <c r="AB66" s="135">
        <f>D66*Z66</f>
        <v>0</v>
      </c>
      <c r="AC66" s="135">
        <f>Y66+AB66</f>
        <v>4075</v>
      </c>
      <c r="AD66" s="146">
        <f>SUM(AC65:AC66)</f>
        <v>7932</v>
      </c>
    </row>
    <row r="67" spans="1:30" s="12" customFormat="1" ht="18" customHeight="1">
      <c r="A67" s="133">
        <v>54</v>
      </c>
      <c r="B67" s="134" t="s">
        <v>123</v>
      </c>
      <c r="C67" s="135" t="s">
        <v>99</v>
      </c>
      <c r="D67" s="135">
        <v>0</v>
      </c>
      <c r="E67" s="135"/>
      <c r="F67" s="136">
        <f>VLOOKUP($B67,Quali!$B:$N,6,0)</f>
        <v>219</v>
      </c>
      <c r="G67" s="136">
        <f>VLOOKUP($B67,Quali!$B:$N,7,0)</f>
        <v>255</v>
      </c>
      <c r="H67" s="136">
        <f>VLOOKUP($B67,Quali!$B:$N,8,0)</f>
        <v>248</v>
      </c>
      <c r="I67" s="136">
        <f>VLOOKUP($B67,Quali!$B:$N,9,0)</f>
        <v>205</v>
      </c>
      <c r="J67" s="136">
        <f>VLOOKUP($B67,Quali!$B:$N,10,0)</f>
        <v>181</v>
      </c>
      <c r="K67" s="136">
        <f>VLOOKUP($B67,Quali!$B:$N,11,0)</f>
        <v>249</v>
      </c>
      <c r="L67" s="136">
        <f>VLOOKUP($B67,Quali!$B:$N,12,0)</f>
        <v>203</v>
      </c>
      <c r="M67" s="142">
        <f>VLOOKUP($B67,Quali!$B:$N,13,0)</f>
        <v>249</v>
      </c>
      <c r="N67" s="140">
        <f>VLOOKUP($B67,'Zwischenrunde 16'!$B:$J,6,0)</f>
        <v>158</v>
      </c>
      <c r="O67" s="136">
        <f>VLOOKUP($B67,'Zwischenrunde 16'!$B:$J,7,0)</f>
        <v>251</v>
      </c>
      <c r="P67" s="136">
        <f>VLOOKUP($B67,'Zwischenrunde 16'!$B:$J,8,0)</f>
        <v>257</v>
      </c>
      <c r="Q67" s="136">
        <f>VLOOKUP($B67,'Zwischenrunde 16'!$B:$J,9,0)</f>
        <v>267</v>
      </c>
      <c r="R67" s="136">
        <f>VLOOKUP($B67,'Petersen-Rangliste'!$B$23:$M$38,6,0)</f>
        <v>183</v>
      </c>
      <c r="S67" s="136">
        <f>VLOOKUP($B67,'Petersen-Rangliste'!$B$23:$M$38,7,0)</f>
        <v>222</v>
      </c>
      <c r="T67" s="136">
        <f>VLOOKUP($B67,'Petersen-Rangliste'!$B$23:$M$38,8,0)</f>
        <v>213</v>
      </c>
      <c r="U67" s="136">
        <f>VLOOKUP($B67,'Petersen-Rangliste'!$B$23:$M$38,9,0)</f>
        <v>193</v>
      </c>
      <c r="V67" s="136">
        <f>VLOOKUP($B67,'Petersen-Rangliste'!$B$23:$M$38,10,0)</f>
        <v>225</v>
      </c>
      <c r="W67" s="136">
        <f>VLOOKUP($B67,'Petersen-Rangliste'!$B$23:$M$38,11,0)</f>
        <v>214</v>
      </c>
      <c r="X67" s="136">
        <f>VLOOKUP($B67,'Petersen-Rangliste'!$B$23:$M$38,12,0)</f>
        <v>207</v>
      </c>
      <c r="Y67" s="136">
        <f>SUM(F67:X67)</f>
        <v>4199</v>
      </c>
      <c r="Z67" s="136">
        <f>COUNT(F67:X67)</f>
        <v>19</v>
      </c>
      <c r="AA67" s="137">
        <f>Y67/Z67</f>
        <v>221</v>
      </c>
      <c r="AB67" s="135">
        <f>D67*Z67</f>
        <v>0</v>
      </c>
      <c r="AC67" s="135">
        <f>Y67+AB67</f>
        <v>4199</v>
      </c>
      <c r="AD67" s="145">
        <f>AD68</f>
        <v>8179</v>
      </c>
    </row>
    <row r="68" spans="1:30" s="12" customFormat="1" ht="18" customHeight="1">
      <c r="A68" s="133">
        <v>55</v>
      </c>
      <c r="B68" s="134" t="s">
        <v>124</v>
      </c>
      <c r="C68" s="135" t="s">
        <v>99</v>
      </c>
      <c r="D68" s="135">
        <v>0</v>
      </c>
      <c r="E68" s="135"/>
      <c r="F68" s="136">
        <f>VLOOKUP($B68,Quali!$B:$N,6,0)</f>
        <v>191</v>
      </c>
      <c r="G68" s="136">
        <f>VLOOKUP($B68,Quali!$B:$N,7,0)</f>
        <v>210</v>
      </c>
      <c r="H68" s="136">
        <f>VLOOKUP($B68,Quali!$B:$N,8,0)</f>
        <v>213</v>
      </c>
      <c r="I68" s="136">
        <f>VLOOKUP($B68,Quali!$B:$N,9,0)</f>
        <v>189</v>
      </c>
      <c r="J68" s="136">
        <f>VLOOKUP($B68,Quali!$B:$N,10,0)</f>
        <v>227</v>
      </c>
      <c r="K68" s="136">
        <f>VLOOKUP($B68,Quali!$B:$N,11,0)</f>
        <v>232</v>
      </c>
      <c r="L68" s="136">
        <f>VLOOKUP($B68,Quali!$B:$N,12,0)</f>
        <v>238</v>
      </c>
      <c r="M68" s="142">
        <f>VLOOKUP($B68,Quali!$B:$N,13,0)</f>
        <v>258</v>
      </c>
      <c r="N68" s="141">
        <f>VLOOKUP($B68,'Zwischenrunde 16'!$B:$J,6,0)</f>
        <v>202</v>
      </c>
      <c r="O68" s="135">
        <f>VLOOKUP($B68,'Zwischenrunde 16'!$B:$J,7,0)</f>
        <v>178</v>
      </c>
      <c r="P68" s="135">
        <f>VLOOKUP($B68,'Zwischenrunde 16'!$B:$J,8,0)</f>
        <v>213</v>
      </c>
      <c r="Q68" s="135">
        <f>VLOOKUP($B68,'Zwischenrunde 16'!$B:$J,9,0)</f>
        <v>193</v>
      </c>
      <c r="R68" s="135">
        <f>VLOOKUP($B68,'Petersen-Rangliste'!$B$23:$M$38,6,0)</f>
        <v>236</v>
      </c>
      <c r="S68" s="135">
        <f>VLOOKUP($B68,'Petersen-Rangliste'!$B$23:$M$38,7,0)</f>
        <v>211</v>
      </c>
      <c r="T68" s="135">
        <f>VLOOKUP($B68,'Petersen-Rangliste'!$B$23:$M$38,8,0)</f>
        <v>192</v>
      </c>
      <c r="U68" s="135">
        <f>VLOOKUP($B68,'Petersen-Rangliste'!$B$23:$M$38,9,0)</f>
        <v>191</v>
      </c>
      <c r="V68" s="135">
        <f>VLOOKUP($B68,'Petersen-Rangliste'!$B$23:$M$38,10,0)</f>
        <v>178</v>
      </c>
      <c r="W68" s="135">
        <f>VLOOKUP($B68,'Petersen-Rangliste'!$B$23:$M$38,11,0)</f>
        <v>193</v>
      </c>
      <c r="X68" s="135">
        <f>VLOOKUP($B68,'Petersen-Rangliste'!$B$23:$M$38,12,0)</f>
        <v>235</v>
      </c>
      <c r="Y68" s="135">
        <f>SUM(F68:X68)</f>
        <v>3980</v>
      </c>
      <c r="Z68" s="135">
        <f>COUNT(F68:X68)</f>
        <v>19</v>
      </c>
      <c r="AA68" s="137">
        <f>Y68/Z68</f>
        <v>209.47368421052633</v>
      </c>
      <c r="AB68" s="135">
        <f>D68*Z68</f>
        <v>0</v>
      </c>
      <c r="AC68" s="135">
        <f>Y68+AB68</f>
        <v>3980</v>
      </c>
      <c r="AD68" s="146">
        <f>SUM(AC67:AC68)</f>
        <v>8179</v>
      </c>
    </row>
    <row r="69" spans="1:30" s="12" customFormat="1" ht="18" customHeight="1">
      <c r="A69" s="133">
        <v>56</v>
      </c>
      <c r="B69" s="138" t="s">
        <v>128</v>
      </c>
      <c r="C69" s="135" t="s">
        <v>99</v>
      </c>
      <c r="D69" s="135">
        <v>4</v>
      </c>
      <c r="E69" s="135"/>
      <c r="F69" s="136">
        <f>VLOOKUP($B69,Quali!$B:$N,6,0)</f>
        <v>246</v>
      </c>
      <c r="G69" s="136">
        <f>VLOOKUP($B69,Quali!$B:$N,7,0)</f>
        <v>227</v>
      </c>
      <c r="H69" s="136">
        <f>VLOOKUP($B69,Quali!$B:$N,8,0)</f>
        <v>234</v>
      </c>
      <c r="I69" s="136">
        <f>VLOOKUP($B69,Quali!$B:$N,9,0)</f>
        <v>177</v>
      </c>
      <c r="J69" s="136">
        <f>VLOOKUP($B69,Quali!$B:$N,10,0)</f>
        <v>235</v>
      </c>
      <c r="K69" s="136">
        <f>VLOOKUP($B69,Quali!$B:$N,11,0)</f>
        <v>246</v>
      </c>
      <c r="L69" s="136">
        <f>VLOOKUP($B69,Quali!$B:$N,12,0)</f>
        <v>248</v>
      </c>
      <c r="M69" s="142">
        <f>VLOOKUP($B69,Quali!$B:$N,13,0)</f>
        <v>156</v>
      </c>
      <c r="N69" s="140">
        <f>VLOOKUP($B69,'Zwischenrunde 16'!$B:$J,6,0)</f>
        <v>188</v>
      </c>
      <c r="O69" s="136">
        <f>VLOOKUP($B69,'Zwischenrunde 16'!$B:$J,7,0)</f>
        <v>173</v>
      </c>
      <c r="P69" s="136">
        <f>VLOOKUP($B69,'Zwischenrunde 16'!$B:$J,8,0)</f>
        <v>154</v>
      </c>
      <c r="Q69" s="136">
        <f>VLOOKUP($B69,'Zwischenrunde 16'!$B:$J,9,0)</f>
        <v>179</v>
      </c>
      <c r="R69" s="136"/>
      <c r="S69" s="136"/>
      <c r="T69" s="136"/>
      <c r="U69" s="136"/>
      <c r="V69" s="136"/>
      <c r="W69" s="136"/>
      <c r="X69" s="136"/>
      <c r="Y69" s="136">
        <f>SUM(F69:X69)</f>
        <v>2463</v>
      </c>
      <c r="Z69" s="136">
        <f>COUNT(F69:X69)</f>
        <v>12</v>
      </c>
      <c r="AA69" s="137">
        <f>Y69/Z69</f>
        <v>205.25</v>
      </c>
      <c r="AB69" s="135">
        <f>D69*Z69</f>
        <v>48</v>
      </c>
      <c r="AC69" s="135">
        <f>Y69+AB69</f>
        <v>2511</v>
      </c>
      <c r="AD69" s="145">
        <f>AD70</f>
        <v>4803</v>
      </c>
    </row>
    <row r="70" spans="1:30" s="12" customFormat="1" ht="18" customHeight="1">
      <c r="A70" s="133">
        <v>57</v>
      </c>
      <c r="B70" s="134" t="s">
        <v>129</v>
      </c>
      <c r="C70" s="135" t="s">
        <v>99</v>
      </c>
      <c r="D70" s="135">
        <v>3</v>
      </c>
      <c r="E70" s="135"/>
      <c r="F70" s="136">
        <f>VLOOKUP($B70,Quali!$B:$N,6,0)</f>
        <v>194</v>
      </c>
      <c r="G70" s="136">
        <f>VLOOKUP($B70,Quali!$B:$N,7,0)</f>
        <v>219</v>
      </c>
      <c r="H70" s="136">
        <f>VLOOKUP($B70,Quali!$B:$N,8,0)</f>
        <v>158</v>
      </c>
      <c r="I70" s="136">
        <f>VLOOKUP($B70,Quali!$B:$N,9,0)</f>
        <v>191</v>
      </c>
      <c r="J70" s="136">
        <f>VLOOKUP($B70,Quali!$B:$N,10,0)</f>
        <v>177</v>
      </c>
      <c r="K70" s="136">
        <f>VLOOKUP($B70,Quali!$B:$N,11,0)</f>
        <v>177</v>
      </c>
      <c r="L70" s="136">
        <f>VLOOKUP($B70,Quali!$B:$N,12,0)</f>
        <v>163</v>
      </c>
      <c r="M70" s="142">
        <f>VLOOKUP($B70,Quali!$B:$N,13,0)</f>
        <v>172</v>
      </c>
      <c r="N70" s="141">
        <f>VLOOKUP($B70,'Zwischenrunde 16'!$B:$J,6,0)</f>
        <v>168</v>
      </c>
      <c r="O70" s="135">
        <f>VLOOKUP($B70,'Zwischenrunde 16'!$B:$J,7,0)</f>
        <v>235</v>
      </c>
      <c r="P70" s="135">
        <f>VLOOKUP($B70,'Zwischenrunde 16'!$B:$J,8,0)</f>
        <v>156</v>
      </c>
      <c r="Q70" s="135">
        <f>VLOOKUP($B70,'Zwischenrunde 16'!$B:$J,9,0)</f>
        <v>246</v>
      </c>
      <c r="R70" s="135"/>
      <c r="S70" s="135"/>
      <c r="T70" s="135"/>
      <c r="U70" s="135"/>
      <c r="V70" s="135"/>
      <c r="W70" s="135"/>
      <c r="X70" s="135"/>
      <c r="Y70" s="135">
        <f>SUM(F70:X70)</f>
        <v>2256</v>
      </c>
      <c r="Z70" s="135">
        <f>COUNT(F70:X70)</f>
        <v>12</v>
      </c>
      <c r="AA70" s="137">
        <f>Y70/Z70</f>
        <v>188</v>
      </c>
      <c r="AB70" s="135">
        <f>D70*Z70</f>
        <v>36</v>
      </c>
      <c r="AC70" s="135">
        <f>Y70+AB70</f>
        <v>2292</v>
      </c>
      <c r="AD70" s="146">
        <f>SUM(AC69:AC70)</f>
        <v>4803</v>
      </c>
    </row>
    <row r="71" spans="1:30" s="12" customFormat="1" ht="18" customHeight="1">
      <c r="A71" s="133">
        <v>58</v>
      </c>
      <c r="B71" s="138" t="s">
        <v>101</v>
      </c>
      <c r="C71" s="135" t="s">
        <v>99</v>
      </c>
      <c r="D71" s="135">
        <v>6</v>
      </c>
      <c r="E71" s="135"/>
      <c r="F71" s="136">
        <f>VLOOKUP($B71,Quali!$B:$N,6,0)</f>
        <v>214</v>
      </c>
      <c r="G71" s="136">
        <f>VLOOKUP($B71,Quali!$B:$N,7,0)</f>
        <v>277</v>
      </c>
      <c r="H71" s="136">
        <f>VLOOKUP($B71,Quali!$B:$N,8,0)</f>
        <v>209</v>
      </c>
      <c r="I71" s="136">
        <f>VLOOKUP($B71,Quali!$B:$N,9,0)</f>
        <v>212</v>
      </c>
      <c r="J71" s="136">
        <f>VLOOKUP($B71,Quali!$B:$N,10,0)</f>
        <v>249</v>
      </c>
      <c r="K71" s="136">
        <f>VLOOKUP($B71,Quali!$B:$N,11,0)</f>
        <v>221</v>
      </c>
      <c r="L71" s="136">
        <f>VLOOKUP($B71,Quali!$B:$N,12,0)</f>
        <v>213</v>
      </c>
      <c r="M71" s="142">
        <f>VLOOKUP($B71,Quali!$B:$N,13,0)</f>
        <v>178</v>
      </c>
      <c r="N71" s="140">
        <f>VLOOKUP($B71,'Zwischenrunde 16'!$B:$J,6,0)</f>
        <v>187</v>
      </c>
      <c r="O71" s="136">
        <f>VLOOKUP($B71,'Zwischenrunde 16'!$B:$J,7,0)</f>
        <v>193</v>
      </c>
      <c r="P71" s="136">
        <f>VLOOKUP($B71,'Zwischenrunde 16'!$B:$J,8,0)</f>
        <v>191</v>
      </c>
      <c r="Q71" s="136">
        <f>VLOOKUP($B71,'Zwischenrunde 16'!$B:$J,9,0)</f>
        <v>202</v>
      </c>
      <c r="R71" s="136"/>
      <c r="S71" s="136"/>
      <c r="T71" s="136"/>
      <c r="U71" s="136"/>
      <c r="V71" s="136"/>
      <c r="W71" s="136"/>
      <c r="X71" s="136"/>
      <c r="Y71" s="136">
        <f>SUM(F71:X71)</f>
        <v>2546</v>
      </c>
      <c r="Z71" s="136">
        <f>COUNT(F71:X71)</f>
        <v>12</v>
      </c>
      <c r="AA71" s="137">
        <f>Y71/Z71</f>
        <v>212.16666666666666</v>
      </c>
      <c r="AB71" s="135">
        <f>D71*Z71</f>
        <v>72</v>
      </c>
      <c r="AC71" s="135">
        <f>Y71+AB71</f>
        <v>2618</v>
      </c>
      <c r="AD71" s="145">
        <f>AD72</f>
        <v>4790</v>
      </c>
    </row>
    <row r="72" spans="1:30" s="12" customFormat="1" ht="18" customHeight="1">
      <c r="A72" s="133">
        <v>59</v>
      </c>
      <c r="B72" s="134" t="s">
        <v>102</v>
      </c>
      <c r="C72" s="135" t="s">
        <v>99</v>
      </c>
      <c r="D72" s="135">
        <v>8</v>
      </c>
      <c r="E72" s="135"/>
      <c r="F72" s="136">
        <f>VLOOKUP($B72,Quali!$B:$N,6,0)</f>
        <v>203</v>
      </c>
      <c r="G72" s="136">
        <f>VLOOKUP($B72,Quali!$B:$N,7,0)</f>
        <v>217</v>
      </c>
      <c r="H72" s="136">
        <f>VLOOKUP($B72,Quali!$B:$N,8,0)</f>
        <v>214</v>
      </c>
      <c r="I72" s="136">
        <f>VLOOKUP($B72,Quali!$B:$N,9,0)</f>
        <v>190</v>
      </c>
      <c r="J72" s="136">
        <f>VLOOKUP($B72,Quali!$B:$N,10,0)</f>
        <v>170</v>
      </c>
      <c r="K72" s="136">
        <f>VLOOKUP($B72,Quali!$B:$N,11,0)</f>
        <v>170</v>
      </c>
      <c r="L72" s="136">
        <f>VLOOKUP($B72,Quali!$B:$N,12,0)</f>
        <v>129</v>
      </c>
      <c r="M72" s="142">
        <f>VLOOKUP($B72,Quali!$B:$N,13,0)</f>
        <v>176</v>
      </c>
      <c r="N72" s="140">
        <f>VLOOKUP($B72,'Zwischenrunde 16'!$B:$J,6,0)</f>
        <v>0</v>
      </c>
      <c r="O72" s="136">
        <f>VLOOKUP($B72,'Zwischenrunde 16'!$B:$J,7,0)</f>
        <v>213</v>
      </c>
      <c r="P72" s="136">
        <f>VLOOKUP($B72,'Zwischenrunde 16'!$B:$J,8,0)</f>
        <v>188</v>
      </c>
      <c r="Q72" s="136">
        <f>VLOOKUP($B72,'Zwischenrunde 16'!$B:$J,9,0)</f>
        <v>206</v>
      </c>
      <c r="R72" s="136"/>
      <c r="S72" s="136"/>
      <c r="T72" s="136"/>
      <c r="U72" s="136"/>
      <c r="V72" s="136"/>
      <c r="W72" s="136"/>
      <c r="X72" s="136"/>
      <c r="Y72" s="135">
        <f>SUM(F72:X72)</f>
        <v>2076</v>
      </c>
      <c r="Z72" s="135">
        <f>COUNT(F72:X72)</f>
        <v>12</v>
      </c>
      <c r="AA72" s="137">
        <f>Y72/Z72</f>
        <v>173</v>
      </c>
      <c r="AB72" s="135">
        <f>D72*Z72</f>
        <v>96</v>
      </c>
      <c r="AC72" s="135">
        <f>Y72+AB72</f>
        <v>2172</v>
      </c>
      <c r="AD72" s="147">
        <f>SUM(AC71:AC72)</f>
        <v>4790</v>
      </c>
    </row>
    <row r="73" spans="1:30" s="12" customFormat="1" ht="18" customHeight="1">
      <c r="A73" s="133">
        <v>60</v>
      </c>
      <c r="B73" s="134" t="s">
        <v>138</v>
      </c>
      <c r="C73" s="135" t="s">
        <v>99</v>
      </c>
      <c r="D73" s="135">
        <v>0</v>
      </c>
      <c r="E73" s="135"/>
      <c r="F73" s="136">
        <f>VLOOKUP($B73,Quali!$B:$N,6,0)</f>
        <v>195</v>
      </c>
      <c r="G73" s="136">
        <f>VLOOKUP($B73,Quali!$B:$N,7,0)</f>
        <v>213</v>
      </c>
      <c r="H73" s="136">
        <f>VLOOKUP($B73,Quali!$B:$N,8,0)</f>
        <v>170</v>
      </c>
      <c r="I73" s="136">
        <f>VLOOKUP($B73,Quali!$B:$N,9,0)</f>
        <v>266</v>
      </c>
      <c r="J73" s="136">
        <f>VLOOKUP($B73,Quali!$B:$N,10,0)</f>
        <v>206</v>
      </c>
      <c r="K73" s="136">
        <f>VLOOKUP($B73,Quali!$B:$N,11,0)</f>
        <v>227</v>
      </c>
      <c r="L73" s="136">
        <f>VLOOKUP($B73,Quali!$B:$N,12,0)</f>
        <v>203</v>
      </c>
      <c r="M73" s="142">
        <f>VLOOKUP($B73,Quali!$B:$N,13,0)</f>
        <v>189</v>
      </c>
      <c r="N73" s="140"/>
      <c r="O73" s="136"/>
      <c r="P73" s="136"/>
      <c r="Q73" s="136"/>
      <c r="R73" s="136"/>
      <c r="S73" s="136"/>
      <c r="T73" s="136"/>
      <c r="U73" s="136"/>
      <c r="V73" s="136"/>
      <c r="W73" s="136"/>
      <c r="X73" s="136"/>
      <c r="Y73" s="136">
        <f>SUM(F73:X73)</f>
        <v>1669</v>
      </c>
      <c r="Z73" s="136">
        <f>COUNT(F73:X73)</f>
        <v>8</v>
      </c>
      <c r="AA73" s="137">
        <f>Y73/Z73</f>
        <v>208.625</v>
      </c>
      <c r="AB73" s="135">
        <f>D73*Z73</f>
        <v>0</v>
      </c>
      <c r="AC73" s="135">
        <f>Y73+AB73</f>
        <v>1669</v>
      </c>
      <c r="AD73" s="145">
        <f>AD74</f>
        <v>3245</v>
      </c>
    </row>
    <row r="74" spans="1:30" s="12" customFormat="1" ht="18" customHeight="1">
      <c r="A74" s="133">
        <v>61</v>
      </c>
      <c r="B74" s="134" t="s">
        <v>139</v>
      </c>
      <c r="C74" s="135" t="s">
        <v>99</v>
      </c>
      <c r="D74" s="135">
        <v>3</v>
      </c>
      <c r="E74" s="135"/>
      <c r="F74" s="136">
        <f>VLOOKUP($B74,Quali!$B:$N,6,0)</f>
        <v>181</v>
      </c>
      <c r="G74" s="136">
        <f>VLOOKUP($B74,Quali!$B:$N,7,0)</f>
        <v>215</v>
      </c>
      <c r="H74" s="136">
        <f>VLOOKUP($B74,Quali!$B:$N,8,0)</f>
        <v>217</v>
      </c>
      <c r="I74" s="136">
        <f>VLOOKUP($B74,Quali!$B:$N,9,0)</f>
        <v>171</v>
      </c>
      <c r="J74" s="136">
        <f>VLOOKUP($B74,Quali!$B:$N,10,0)</f>
        <v>238</v>
      </c>
      <c r="K74" s="136">
        <f>VLOOKUP($B74,Quali!$B:$N,11,0)</f>
        <v>192</v>
      </c>
      <c r="L74" s="136">
        <f>VLOOKUP($B74,Quali!$B:$N,12,0)</f>
        <v>159</v>
      </c>
      <c r="M74" s="142">
        <f>VLOOKUP($B74,Quali!$B:$N,13,0)</f>
        <v>179</v>
      </c>
      <c r="N74" s="140"/>
      <c r="O74" s="136"/>
      <c r="P74" s="136"/>
      <c r="Q74" s="136"/>
      <c r="R74" s="136"/>
      <c r="S74" s="136"/>
      <c r="T74" s="136"/>
      <c r="U74" s="136"/>
      <c r="V74" s="136"/>
      <c r="W74" s="136"/>
      <c r="X74" s="136"/>
      <c r="Y74" s="135">
        <f>SUM(F74:X74)</f>
        <v>1552</v>
      </c>
      <c r="Z74" s="135">
        <f>COUNT(F74:X74)</f>
        <v>8</v>
      </c>
      <c r="AA74" s="137">
        <f>Y74/Z74</f>
        <v>194</v>
      </c>
      <c r="AB74" s="135">
        <f>D74*Z74</f>
        <v>24</v>
      </c>
      <c r="AC74" s="135">
        <f>Y74+AB74</f>
        <v>1576</v>
      </c>
      <c r="AD74" s="147">
        <f>SUM(AC73:AC74)</f>
        <v>3245</v>
      </c>
    </row>
    <row r="75" spans="1:30" s="12" customFormat="1" ht="18" customHeight="1">
      <c r="A75" s="133">
        <v>62</v>
      </c>
      <c r="B75" s="134" t="s">
        <v>176</v>
      </c>
      <c r="C75" s="135" t="s">
        <v>99</v>
      </c>
      <c r="D75" s="135">
        <v>19</v>
      </c>
      <c r="E75" s="135" t="s">
        <v>166</v>
      </c>
      <c r="F75" s="136">
        <f>VLOOKUP($B75,Quali!$B:$N,6,0)</f>
        <v>155</v>
      </c>
      <c r="G75" s="136">
        <f>VLOOKUP($B75,Quali!$B:$N,7,0)</f>
        <v>172</v>
      </c>
      <c r="H75" s="136">
        <f>VLOOKUP($B75,Quali!$B:$N,8,0)</f>
        <v>176</v>
      </c>
      <c r="I75" s="136">
        <f>VLOOKUP($B75,Quali!$B:$N,9,0)</f>
        <v>221</v>
      </c>
      <c r="J75" s="136">
        <f>VLOOKUP($B75,Quali!$B:$N,10,0)</f>
        <v>186</v>
      </c>
      <c r="K75" s="136">
        <f>VLOOKUP($B75,Quali!$B:$N,11,0)</f>
        <v>146</v>
      </c>
      <c r="L75" s="136">
        <f>VLOOKUP($B75,Quali!$B:$N,12,0)</f>
        <v>152</v>
      </c>
      <c r="M75" s="142">
        <f>VLOOKUP($B75,Quali!$B:$N,13,0)</f>
        <v>169</v>
      </c>
      <c r="N75" s="140"/>
      <c r="O75" s="136"/>
      <c r="P75" s="136"/>
      <c r="Q75" s="136"/>
      <c r="R75" s="136"/>
      <c r="S75" s="136"/>
      <c r="T75" s="136"/>
      <c r="U75" s="136"/>
      <c r="V75" s="136"/>
      <c r="W75" s="136"/>
      <c r="X75" s="136"/>
      <c r="Y75" s="135">
        <f>SUM(F75:X75)</f>
        <v>1377</v>
      </c>
      <c r="Z75" s="135">
        <f>COUNT(F75:X75)</f>
        <v>8</v>
      </c>
      <c r="AA75" s="137">
        <f>Y75/Z75</f>
        <v>172.125</v>
      </c>
      <c r="AB75" s="135">
        <f>D75*Z75</f>
        <v>152</v>
      </c>
      <c r="AC75" s="135">
        <f>Y75+AB75</f>
        <v>1529</v>
      </c>
      <c r="AD75" s="147">
        <f>SUM(AC74:AC75)</f>
        <v>3105</v>
      </c>
    </row>
    <row r="76" spans="1:30" s="12" customFormat="1" ht="18" customHeight="1">
      <c r="A76" s="133">
        <v>63</v>
      </c>
      <c r="B76" s="134" t="s">
        <v>130</v>
      </c>
      <c r="C76" s="135" t="s">
        <v>99</v>
      </c>
      <c r="D76" s="135">
        <v>14</v>
      </c>
      <c r="E76" s="135"/>
      <c r="F76" s="136">
        <f>VLOOKUP($B76,Quali!$B:$N,6,0)</f>
        <v>170</v>
      </c>
      <c r="G76" s="136">
        <f>VLOOKUP($B76,Quali!$B:$N,7,0)</f>
        <v>177</v>
      </c>
      <c r="H76" s="136">
        <f>VLOOKUP($B76,Quali!$B:$N,8,0)</f>
        <v>180</v>
      </c>
      <c r="I76" s="136">
        <f>VLOOKUP($B76,Quali!$B:$N,9,0)</f>
        <v>205</v>
      </c>
      <c r="J76" s="136">
        <f>VLOOKUP($B76,Quali!$B:$N,10,0)</f>
        <v>200</v>
      </c>
      <c r="K76" s="136">
        <f>VLOOKUP($B76,Quali!$B:$N,11,0)</f>
        <v>187</v>
      </c>
      <c r="L76" s="136">
        <f>VLOOKUP($B76,Quali!$B:$N,12,0)</f>
        <v>202</v>
      </c>
      <c r="M76" s="142">
        <f>VLOOKUP($B76,Quali!$B:$N,13,0)</f>
        <v>170</v>
      </c>
      <c r="N76" s="140"/>
      <c r="O76" s="136"/>
      <c r="P76" s="136"/>
      <c r="Q76" s="136"/>
      <c r="R76" s="136"/>
      <c r="S76" s="136"/>
      <c r="T76" s="136"/>
      <c r="U76" s="136"/>
      <c r="V76" s="136"/>
      <c r="W76" s="136"/>
      <c r="X76" s="136"/>
      <c r="Y76" s="136">
        <f>SUM(F76:X76)</f>
        <v>1491</v>
      </c>
      <c r="Z76" s="136">
        <f>COUNT(F76:X76)</f>
        <v>8</v>
      </c>
      <c r="AA76" s="137">
        <f>Y76/Z76</f>
        <v>186.375</v>
      </c>
      <c r="AB76" s="135">
        <f>D76*Z76</f>
        <v>112</v>
      </c>
      <c r="AC76" s="135">
        <f>Y76+AB76</f>
        <v>1603</v>
      </c>
      <c r="AD76" s="145">
        <f>AD77</f>
        <v>3184</v>
      </c>
    </row>
    <row r="77" spans="1:30" s="12" customFormat="1" ht="18" customHeight="1">
      <c r="A77" s="133">
        <v>64</v>
      </c>
      <c r="B77" s="134" t="s">
        <v>131</v>
      </c>
      <c r="C77" s="135" t="s">
        <v>99</v>
      </c>
      <c r="D77" s="135">
        <v>5</v>
      </c>
      <c r="E77" s="135"/>
      <c r="F77" s="136">
        <f>VLOOKUP($B77,Quali!$B:$N,6,0)</f>
        <v>220</v>
      </c>
      <c r="G77" s="136">
        <f>VLOOKUP($B77,Quali!$B:$N,7,0)</f>
        <v>237</v>
      </c>
      <c r="H77" s="136">
        <f>VLOOKUP($B77,Quali!$B:$N,8,0)</f>
        <v>191</v>
      </c>
      <c r="I77" s="136">
        <f>VLOOKUP($B77,Quali!$B:$N,9,0)</f>
        <v>193</v>
      </c>
      <c r="J77" s="136">
        <f>VLOOKUP($B77,Quali!$B:$N,10,0)</f>
        <v>185</v>
      </c>
      <c r="K77" s="136">
        <f>VLOOKUP($B77,Quali!$B:$N,11,0)</f>
        <v>141</v>
      </c>
      <c r="L77" s="136">
        <f>VLOOKUP($B77,Quali!$B:$N,12,0)</f>
        <v>174</v>
      </c>
      <c r="M77" s="142">
        <f>VLOOKUP($B77,Quali!$B:$N,13,0)</f>
        <v>200</v>
      </c>
      <c r="N77" s="140"/>
      <c r="O77" s="136"/>
      <c r="P77" s="136"/>
      <c r="Q77" s="136"/>
      <c r="R77" s="136"/>
      <c r="S77" s="136"/>
      <c r="T77" s="136"/>
      <c r="U77" s="136"/>
      <c r="V77" s="136"/>
      <c r="W77" s="136"/>
      <c r="X77" s="136"/>
      <c r="Y77" s="135">
        <f>SUM(F77:X77)</f>
        <v>1541</v>
      </c>
      <c r="Z77" s="135">
        <f>COUNT(F77:X77)</f>
        <v>8</v>
      </c>
      <c r="AA77" s="137">
        <f>Y77/Z77</f>
        <v>192.625</v>
      </c>
      <c r="AB77" s="135">
        <f>D77*Z77</f>
        <v>40</v>
      </c>
      <c r="AC77" s="135">
        <f>Y77+AB77</f>
        <v>1581</v>
      </c>
      <c r="AD77" s="147">
        <f>SUM(AC76:AC77)</f>
        <v>3184</v>
      </c>
    </row>
    <row r="78" spans="1:30" s="12" customFormat="1" ht="18" customHeight="1">
      <c r="A78" s="133">
        <v>113</v>
      </c>
      <c r="B78" s="134" t="s">
        <v>121</v>
      </c>
      <c r="C78" s="135" t="s">
        <v>99</v>
      </c>
      <c r="D78" s="135">
        <v>0</v>
      </c>
      <c r="E78" s="135"/>
      <c r="F78" s="136">
        <f>VLOOKUP($B78,Quali!$B:$N,6,0)</f>
        <v>218</v>
      </c>
      <c r="G78" s="136">
        <f>VLOOKUP($B78,Quali!$B:$N,7,0)</f>
        <v>223</v>
      </c>
      <c r="H78" s="136">
        <f>VLOOKUP($B78,Quali!$B:$N,8,0)</f>
        <v>224</v>
      </c>
      <c r="I78" s="136">
        <f>VLOOKUP($B78,Quali!$B:$N,9,0)</f>
        <v>154</v>
      </c>
      <c r="J78" s="136">
        <f>VLOOKUP($B78,Quali!$B:$N,10,0)</f>
        <v>191</v>
      </c>
      <c r="K78" s="136">
        <f>VLOOKUP($B78,Quali!$B:$N,11,0)</f>
        <v>211</v>
      </c>
      <c r="L78" s="136">
        <f>VLOOKUP($B78,Quali!$B:$N,12,0)</f>
        <v>207</v>
      </c>
      <c r="M78" s="142">
        <f>VLOOKUP($B78,Quali!$B:$N,13,0)</f>
        <v>183</v>
      </c>
      <c r="N78" s="140"/>
      <c r="O78" s="136"/>
      <c r="P78" s="136"/>
      <c r="Q78" s="136"/>
      <c r="R78" s="136"/>
      <c r="S78" s="136"/>
      <c r="T78" s="136"/>
      <c r="U78" s="136"/>
      <c r="V78" s="136"/>
      <c r="W78" s="136"/>
      <c r="X78" s="136"/>
      <c r="Y78" s="136">
        <f>SUM(F78:X78)</f>
        <v>1611</v>
      </c>
      <c r="Z78" s="136">
        <f>COUNT(F78:X78)</f>
        <v>8</v>
      </c>
      <c r="AA78" s="137">
        <f>Y78/Z78</f>
        <v>201.375</v>
      </c>
      <c r="AB78" s="135">
        <f>D78*Z78</f>
        <v>0</v>
      </c>
      <c r="AC78" s="135">
        <f>Y78+AB78</f>
        <v>1611</v>
      </c>
      <c r="AD78" s="145">
        <f>AD79</f>
        <v>3138</v>
      </c>
    </row>
    <row r="79" spans="1:30" s="12" customFormat="1" ht="18" customHeight="1">
      <c r="A79" s="133">
        <v>114</v>
      </c>
      <c r="B79" s="134" t="s">
        <v>168</v>
      </c>
      <c r="C79" s="135" t="s">
        <v>99</v>
      </c>
      <c r="D79" s="135">
        <v>7</v>
      </c>
      <c r="E79" s="135" t="s">
        <v>166</v>
      </c>
      <c r="F79" s="136">
        <f>VLOOKUP($B79,Quali!$B:$N,6,0)</f>
        <v>226</v>
      </c>
      <c r="G79" s="136">
        <f>VLOOKUP($B79,Quali!$B:$N,7,0)</f>
        <v>184</v>
      </c>
      <c r="H79" s="136">
        <f>VLOOKUP($B79,Quali!$B:$N,8,0)</f>
        <v>197</v>
      </c>
      <c r="I79" s="136">
        <f>VLOOKUP($B79,Quali!$B:$N,9,0)</f>
        <v>167</v>
      </c>
      <c r="J79" s="136">
        <f>VLOOKUP($B79,Quali!$B:$N,10,0)</f>
        <v>136</v>
      </c>
      <c r="K79" s="136">
        <f>VLOOKUP($B79,Quali!$B:$N,11,0)</f>
        <v>155</v>
      </c>
      <c r="L79" s="136">
        <f>VLOOKUP($B79,Quali!$B:$N,12,0)</f>
        <v>162</v>
      </c>
      <c r="M79" s="142">
        <f>VLOOKUP($B79,Quali!$B:$N,13,0)</f>
        <v>244</v>
      </c>
      <c r="N79" s="140"/>
      <c r="O79" s="136"/>
      <c r="P79" s="136"/>
      <c r="Q79" s="136"/>
      <c r="R79" s="136"/>
      <c r="S79" s="136"/>
      <c r="T79" s="136"/>
      <c r="U79" s="136"/>
      <c r="V79" s="136"/>
      <c r="W79" s="136"/>
      <c r="X79" s="136"/>
      <c r="Y79" s="135">
        <f>SUM(F79:X79)</f>
        <v>1471</v>
      </c>
      <c r="Z79" s="135">
        <f>COUNT(F79:X79)</f>
        <v>8</v>
      </c>
      <c r="AA79" s="137">
        <f>Y79/Z79</f>
        <v>183.875</v>
      </c>
      <c r="AB79" s="135">
        <f>D79*Z79</f>
        <v>56</v>
      </c>
      <c r="AC79" s="135">
        <f>Y79+AB79</f>
        <v>1527</v>
      </c>
      <c r="AD79" s="147">
        <f>SUM(AC78:AC79)</f>
        <v>3138</v>
      </c>
    </row>
    <row r="80" spans="1:30" s="12" customFormat="1" ht="18" customHeight="1">
      <c r="A80" s="133">
        <v>65</v>
      </c>
      <c r="B80" s="138" t="s">
        <v>21</v>
      </c>
      <c r="C80" s="135" t="s">
        <v>99</v>
      </c>
      <c r="D80" s="135">
        <v>7</v>
      </c>
      <c r="E80" s="135"/>
      <c r="F80" s="136">
        <f>VLOOKUP($B80,Quali!$B:$N,6,0)</f>
        <v>207</v>
      </c>
      <c r="G80" s="136">
        <f>VLOOKUP($B80,Quali!$B:$N,7,0)</f>
        <v>181</v>
      </c>
      <c r="H80" s="136">
        <f>VLOOKUP($B80,Quali!$B:$N,8,0)</f>
        <v>161</v>
      </c>
      <c r="I80" s="136">
        <f>VLOOKUP($B80,Quali!$B:$N,9,0)</f>
        <v>215</v>
      </c>
      <c r="J80" s="136">
        <f>VLOOKUP($B80,Quali!$B:$N,10,0)</f>
        <v>181</v>
      </c>
      <c r="K80" s="136">
        <f>VLOOKUP($B80,Quali!$B:$N,11,0)</f>
        <v>199</v>
      </c>
      <c r="L80" s="136">
        <f>VLOOKUP($B80,Quali!$B:$N,12,0)</f>
        <v>179</v>
      </c>
      <c r="M80" s="142">
        <f>VLOOKUP($B80,Quali!$B:$N,13,0)</f>
        <v>165</v>
      </c>
      <c r="N80" s="140"/>
      <c r="O80" s="136"/>
      <c r="P80" s="136"/>
      <c r="Q80" s="136"/>
      <c r="R80" s="136"/>
      <c r="S80" s="136"/>
      <c r="T80" s="136"/>
      <c r="U80" s="136"/>
      <c r="V80" s="136"/>
      <c r="W80" s="136"/>
      <c r="X80" s="136"/>
      <c r="Y80" s="135">
        <f>SUM(F80:X80)</f>
        <v>1488</v>
      </c>
      <c r="Z80" s="135">
        <f>COUNT(F80:X80)</f>
        <v>8</v>
      </c>
      <c r="AA80" s="137">
        <f>Y80/Z80</f>
        <v>186</v>
      </c>
      <c r="AB80" s="135">
        <f>D80*Z80</f>
        <v>56</v>
      </c>
      <c r="AC80" s="135">
        <f>Y80+AB80</f>
        <v>1544</v>
      </c>
      <c r="AD80" s="147">
        <f>SUM(AC79:AC80)</f>
        <v>3071</v>
      </c>
    </row>
    <row r="81" spans="1:30" s="12" customFormat="1" ht="18" customHeight="1">
      <c r="A81" s="133">
        <v>66</v>
      </c>
      <c r="B81" s="134" t="s">
        <v>149</v>
      </c>
      <c r="C81" s="135" t="s">
        <v>99</v>
      </c>
      <c r="D81" s="135">
        <v>14</v>
      </c>
      <c r="E81" s="135"/>
      <c r="F81" s="136">
        <f>VLOOKUP($B81,Quali!$B:$N,6,0)</f>
        <v>172</v>
      </c>
      <c r="G81" s="136">
        <f>VLOOKUP($B81,Quali!$B:$N,7,0)</f>
        <v>199</v>
      </c>
      <c r="H81" s="136">
        <f>VLOOKUP($B81,Quali!$B:$N,8,0)</f>
        <v>161</v>
      </c>
      <c r="I81" s="136">
        <f>VLOOKUP($B81,Quali!$B:$N,9,0)</f>
        <v>157</v>
      </c>
      <c r="J81" s="136">
        <f>VLOOKUP($B81,Quali!$B:$N,10,0)</f>
        <v>225</v>
      </c>
      <c r="K81" s="136">
        <f>VLOOKUP($B81,Quali!$B:$N,11,0)</f>
        <v>210</v>
      </c>
      <c r="L81" s="136">
        <f>VLOOKUP($B81,Quali!$B:$N,12,0)</f>
        <v>151</v>
      </c>
      <c r="M81" s="142">
        <f>VLOOKUP($B81,Quali!$B:$N,13,0)</f>
        <v>213</v>
      </c>
      <c r="N81" s="140"/>
      <c r="O81" s="136"/>
      <c r="P81" s="136"/>
      <c r="Q81" s="136"/>
      <c r="R81" s="136"/>
      <c r="S81" s="136"/>
      <c r="T81" s="136"/>
      <c r="U81" s="136"/>
      <c r="V81" s="136"/>
      <c r="W81" s="136"/>
      <c r="X81" s="136"/>
      <c r="Y81" s="136">
        <f>SUM(F81:X81)</f>
        <v>1488</v>
      </c>
      <c r="Z81" s="136">
        <f>COUNT(F81:X81)</f>
        <v>8</v>
      </c>
      <c r="AA81" s="137">
        <f>Y81/Z81</f>
        <v>186</v>
      </c>
      <c r="AB81" s="135">
        <f>D81*Z81</f>
        <v>112</v>
      </c>
      <c r="AC81" s="135">
        <f>Y81+AB81</f>
        <v>1600</v>
      </c>
      <c r="AD81" s="145">
        <f>AD82</f>
        <v>3127</v>
      </c>
    </row>
    <row r="82" spans="1:30" s="12" customFormat="1" ht="18" customHeight="1">
      <c r="A82" s="133">
        <v>67</v>
      </c>
      <c r="B82" s="134" t="s">
        <v>186</v>
      </c>
      <c r="C82" s="135" t="s">
        <v>99</v>
      </c>
      <c r="D82" s="135">
        <v>14</v>
      </c>
      <c r="E82" s="135"/>
      <c r="F82" s="136">
        <f>VLOOKUP($B82,Quali!$B:$N,6,0)</f>
        <v>136</v>
      </c>
      <c r="G82" s="136">
        <f>VLOOKUP($B82,Quali!$B:$N,7,0)</f>
        <v>202</v>
      </c>
      <c r="H82" s="136">
        <f>VLOOKUP($B82,Quali!$B:$N,8,0)</f>
        <v>192</v>
      </c>
      <c r="I82" s="136">
        <f>VLOOKUP($B82,Quali!$B:$N,9,0)</f>
        <v>146</v>
      </c>
      <c r="J82" s="136">
        <f>VLOOKUP($B82,Quali!$B:$N,10,0)</f>
        <v>214</v>
      </c>
      <c r="K82" s="136">
        <f>VLOOKUP($B82,Quali!$B:$N,11,0)</f>
        <v>189</v>
      </c>
      <c r="L82" s="136">
        <f>VLOOKUP($B82,Quali!$B:$N,12,0)</f>
        <v>174</v>
      </c>
      <c r="M82" s="142">
        <f>VLOOKUP($B82,Quali!$B:$N,13,0)</f>
        <v>162</v>
      </c>
      <c r="N82" s="140"/>
      <c r="O82" s="136"/>
      <c r="P82" s="136"/>
      <c r="Q82" s="136"/>
      <c r="R82" s="136"/>
      <c r="S82" s="136"/>
      <c r="T82" s="136"/>
      <c r="U82" s="136"/>
      <c r="V82" s="136"/>
      <c r="W82" s="136"/>
      <c r="X82" s="136"/>
      <c r="Y82" s="135">
        <f>SUM(F82:X82)</f>
        <v>1415</v>
      </c>
      <c r="Z82" s="135">
        <f>COUNT(F82:X82)</f>
        <v>8</v>
      </c>
      <c r="AA82" s="137">
        <f>Y82/Z82</f>
        <v>176.875</v>
      </c>
      <c r="AB82" s="135">
        <f>D82*Z82</f>
        <v>112</v>
      </c>
      <c r="AC82" s="135">
        <f>Y82+AB82</f>
        <v>1527</v>
      </c>
      <c r="AD82" s="147">
        <f>SUM(AC81:AC82)</f>
        <v>3127</v>
      </c>
    </row>
    <row r="83" spans="1:30" s="12" customFormat="1" ht="18" customHeight="1">
      <c r="A83" s="133">
        <v>68</v>
      </c>
      <c r="B83" s="134" t="s">
        <v>179</v>
      </c>
      <c r="C83" s="135" t="s">
        <v>99</v>
      </c>
      <c r="D83" s="135">
        <v>13</v>
      </c>
      <c r="E83" s="135" t="s">
        <v>166</v>
      </c>
      <c r="F83" s="136">
        <f>VLOOKUP($B83,Quali!$B:$N,6,0)</f>
        <v>181</v>
      </c>
      <c r="G83" s="136">
        <f>VLOOKUP($B83,Quali!$B:$N,7,0)</f>
        <v>153</v>
      </c>
      <c r="H83" s="136">
        <f>VLOOKUP($B83,Quali!$B:$N,8,0)</f>
        <v>206</v>
      </c>
      <c r="I83" s="136">
        <f>VLOOKUP($B83,Quali!$B:$N,9,0)</f>
        <v>180</v>
      </c>
      <c r="J83" s="136">
        <f>VLOOKUP($B83,Quali!$B:$N,10,0)</f>
        <v>172</v>
      </c>
      <c r="K83" s="136">
        <f>VLOOKUP($B83,Quali!$B:$N,11,0)</f>
        <v>189</v>
      </c>
      <c r="L83" s="136">
        <f>VLOOKUP($B83,Quali!$B:$N,12,0)</f>
        <v>202</v>
      </c>
      <c r="M83" s="142">
        <f>VLOOKUP($B83,Quali!$B:$N,13,0)</f>
        <v>199</v>
      </c>
      <c r="N83" s="140"/>
      <c r="O83" s="136"/>
      <c r="P83" s="136"/>
      <c r="Q83" s="136"/>
      <c r="R83" s="136"/>
      <c r="S83" s="136"/>
      <c r="T83" s="136"/>
      <c r="U83" s="136"/>
      <c r="V83" s="136"/>
      <c r="W83" s="136"/>
      <c r="X83" s="136"/>
      <c r="Y83" s="136">
        <f>SUM(F83:X83)</f>
        <v>1482</v>
      </c>
      <c r="Z83" s="136">
        <f>COUNT(F83:X83)</f>
        <v>8</v>
      </c>
      <c r="AA83" s="137">
        <f>Y83/Z83</f>
        <v>185.25</v>
      </c>
      <c r="AB83" s="135">
        <f>D83*Z83</f>
        <v>104</v>
      </c>
      <c r="AC83" s="135">
        <f>Y83+AB83</f>
        <v>1586</v>
      </c>
      <c r="AD83" s="145">
        <f>AD84</f>
        <v>3090</v>
      </c>
    </row>
    <row r="84" spans="1:30" s="12" customFormat="1" ht="18" customHeight="1">
      <c r="A84" s="133">
        <v>69</v>
      </c>
      <c r="B84" s="134" t="s">
        <v>180</v>
      </c>
      <c r="C84" s="135" t="s">
        <v>99</v>
      </c>
      <c r="D84" s="135">
        <v>13</v>
      </c>
      <c r="E84" s="135" t="s">
        <v>166</v>
      </c>
      <c r="F84" s="136">
        <f>VLOOKUP($B84,Quali!$B:$N,6,0)</f>
        <v>163</v>
      </c>
      <c r="G84" s="136">
        <f>VLOOKUP($B84,Quali!$B:$N,7,0)</f>
        <v>183</v>
      </c>
      <c r="H84" s="136">
        <f>VLOOKUP($B84,Quali!$B:$N,8,0)</f>
        <v>188</v>
      </c>
      <c r="I84" s="136">
        <f>VLOOKUP($B84,Quali!$B:$N,9,0)</f>
        <v>181</v>
      </c>
      <c r="J84" s="136">
        <f>VLOOKUP($B84,Quali!$B:$N,10,0)</f>
        <v>179</v>
      </c>
      <c r="K84" s="136">
        <f>VLOOKUP($B84,Quali!$B:$N,11,0)</f>
        <v>179</v>
      </c>
      <c r="L84" s="136">
        <f>VLOOKUP($B84,Quali!$B:$N,12,0)</f>
        <v>156</v>
      </c>
      <c r="M84" s="142">
        <f>VLOOKUP($B84,Quali!$B:$N,13,0)</f>
        <v>171</v>
      </c>
      <c r="N84" s="140"/>
      <c r="O84" s="136"/>
      <c r="P84" s="136"/>
      <c r="Q84" s="136"/>
      <c r="R84" s="136"/>
      <c r="S84" s="136"/>
      <c r="T84" s="136"/>
      <c r="U84" s="136"/>
      <c r="V84" s="136"/>
      <c r="W84" s="136"/>
      <c r="X84" s="136"/>
      <c r="Y84" s="135">
        <f>SUM(F84:X84)</f>
        <v>1400</v>
      </c>
      <c r="Z84" s="135">
        <f>COUNT(F84:X84)</f>
        <v>8</v>
      </c>
      <c r="AA84" s="137">
        <f>Y84/Z84</f>
        <v>175</v>
      </c>
      <c r="AB84" s="135">
        <f>D84*Z84</f>
        <v>104</v>
      </c>
      <c r="AC84" s="135">
        <f>Y84+AB84</f>
        <v>1504</v>
      </c>
      <c r="AD84" s="147">
        <f>SUM(AC83:AC84)</f>
        <v>3090</v>
      </c>
    </row>
    <row r="85" spans="1:30" s="12" customFormat="1" ht="18" customHeight="1">
      <c r="A85" s="133">
        <v>70</v>
      </c>
      <c r="B85" s="134" t="s">
        <v>144</v>
      </c>
      <c r="C85" s="135" t="s">
        <v>99</v>
      </c>
      <c r="D85" s="139">
        <v>11</v>
      </c>
      <c r="E85" s="135"/>
      <c r="F85" s="136">
        <f>VLOOKUP($B85,Quali!$B:$N,6,0)</f>
        <v>168</v>
      </c>
      <c r="G85" s="136">
        <f>VLOOKUP($B85,Quali!$B:$N,7,0)</f>
        <v>201</v>
      </c>
      <c r="H85" s="136">
        <f>VLOOKUP($B85,Quali!$B:$N,8,0)</f>
        <v>181</v>
      </c>
      <c r="I85" s="136">
        <f>VLOOKUP($B85,Quali!$B:$N,9,0)</f>
        <v>173</v>
      </c>
      <c r="J85" s="136">
        <f>VLOOKUP($B85,Quali!$B:$N,10,0)</f>
        <v>193</v>
      </c>
      <c r="K85" s="136">
        <f>VLOOKUP($B85,Quali!$B:$N,11,0)</f>
        <v>176</v>
      </c>
      <c r="L85" s="136">
        <f>VLOOKUP($B85,Quali!$B:$N,12,0)</f>
        <v>135</v>
      </c>
      <c r="M85" s="142">
        <f>VLOOKUP($B85,Quali!$B:$N,13,0)</f>
        <v>204</v>
      </c>
      <c r="N85" s="140"/>
      <c r="O85" s="136"/>
      <c r="P85" s="136"/>
      <c r="Q85" s="136"/>
      <c r="R85" s="136"/>
      <c r="S85" s="136"/>
      <c r="T85" s="136"/>
      <c r="U85" s="136"/>
      <c r="V85" s="136"/>
      <c r="W85" s="136"/>
      <c r="X85" s="136"/>
      <c r="Y85" s="136">
        <f>SUM(F85:X85)</f>
        <v>1431</v>
      </c>
      <c r="Z85" s="136">
        <f>COUNT(F85:X85)</f>
        <v>8</v>
      </c>
      <c r="AA85" s="137">
        <f>Y85/Z85</f>
        <v>178.875</v>
      </c>
      <c r="AB85" s="135">
        <f>D85*Z85</f>
        <v>88</v>
      </c>
      <c r="AC85" s="135">
        <f>Y85+AB85</f>
        <v>1519</v>
      </c>
      <c r="AD85" s="145">
        <f>AD86</f>
        <v>3070</v>
      </c>
    </row>
    <row r="86" spans="1:30" s="12" customFormat="1" ht="18" customHeight="1">
      <c r="A86" s="133">
        <v>71</v>
      </c>
      <c r="B86" s="138" t="s">
        <v>146</v>
      </c>
      <c r="C86" s="135" t="s">
        <v>99</v>
      </c>
      <c r="D86" s="135">
        <v>5</v>
      </c>
      <c r="E86" s="135"/>
      <c r="F86" s="136">
        <f>VLOOKUP($B86,Quali!$B:$N,6,0)</f>
        <v>157</v>
      </c>
      <c r="G86" s="136">
        <f>VLOOKUP($B86,Quali!$B:$N,7,0)</f>
        <v>192</v>
      </c>
      <c r="H86" s="136">
        <f>VLOOKUP($B86,Quali!$B:$N,8,0)</f>
        <v>179</v>
      </c>
      <c r="I86" s="136">
        <f>VLOOKUP($B86,Quali!$B:$N,9,0)</f>
        <v>196</v>
      </c>
      <c r="J86" s="136">
        <f>VLOOKUP($B86,Quali!$B:$N,10,0)</f>
        <v>134</v>
      </c>
      <c r="K86" s="136">
        <f>VLOOKUP($B86,Quali!$B:$N,11,0)</f>
        <v>207</v>
      </c>
      <c r="L86" s="136">
        <f>VLOOKUP($B86,Quali!$B:$N,12,0)</f>
        <v>216</v>
      </c>
      <c r="M86" s="142">
        <f>VLOOKUP($B86,Quali!$B:$N,13,0)</f>
        <v>203</v>
      </c>
      <c r="N86" s="140"/>
      <c r="O86" s="136"/>
      <c r="P86" s="136"/>
      <c r="Q86" s="136"/>
      <c r="R86" s="136"/>
      <c r="S86" s="136"/>
      <c r="T86" s="136"/>
      <c r="U86" s="136"/>
      <c r="V86" s="136"/>
      <c r="W86" s="136"/>
      <c r="X86" s="136"/>
      <c r="Y86" s="136">
        <f>SUM(F86:X86)</f>
        <v>1484</v>
      </c>
      <c r="Z86" s="136">
        <f>COUNT(F86:X86)</f>
        <v>8</v>
      </c>
      <c r="AA86" s="137">
        <f>Y86/Z86</f>
        <v>185.5</v>
      </c>
      <c r="AB86" s="135">
        <f>D86*Z86</f>
        <v>40</v>
      </c>
      <c r="AC86" s="135">
        <f>Y86+AB86</f>
        <v>1524</v>
      </c>
      <c r="AD86" s="145">
        <f>AD87</f>
        <v>3070</v>
      </c>
    </row>
    <row r="87" spans="1:30" s="12" customFormat="1" ht="18" customHeight="1">
      <c r="A87" s="133">
        <v>72</v>
      </c>
      <c r="B87" s="134" t="s">
        <v>147</v>
      </c>
      <c r="C87" s="135" t="s">
        <v>99</v>
      </c>
      <c r="D87" s="135">
        <v>13</v>
      </c>
      <c r="E87" s="135"/>
      <c r="F87" s="136">
        <f>VLOOKUP($B87,Quali!$B:$N,6,0)</f>
        <v>203</v>
      </c>
      <c r="G87" s="136">
        <f>VLOOKUP($B87,Quali!$B:$N,7,0)</f>
        <v>153</v>
      </c>
      <c r="H87" s="136">
        <f>VLOOKUP($B87,Quali!$B:$N,8,0)</f>
        <v>184</v>
      </c>
      <c r="I87" s="136">
        <f>VLOOKUP($B87,Quali!$B:$N,9,0)</f>
        <v>195</v>
      </c>
      <c r="J87" s="136">
        <f>VLOOKUP($B87,Quali!$B:$N,10,0)</f>
        <v>184</v>
      </c>
      <c r="K87" s="136">
        <f>VLOOKUP($B87,Quali!$B:$N,11,0)</f>
        <v>168</v>
      </c>
      <c r="L87" s="136">
        <f>VLOOKUP($B87,Quali!$B:$N,12,0)</f>
        <v>170</v>
      </c>
      <c r="M87" s="142">
        <f>VLOOKUP($B87,Quali!$B:$N,13,0)</f>
        <v>185</v>
      </c>
      <c r="N87" s="140"/>
      <c r="O87" s="136"/>
      <c r="P87" s="136"/>
      <c r="Q87" s="136"/>
      <c r="R87" s="136"/>
      <c r="S87" s="136"/>
      <c r="T87" s="136"/>
      <c r="U87" s="136"/>
      <c r="V87" s="136"/>
      <c r="W87" s="136"/>
      <c r="X87" s="136"/>
      <c r="Y87" s="135">
        <f>SUM(F87:X87)</f>
        <v>1442</v>
      </c>
      <c r="Z87" s="135">
        <f>COUNT(F87:X87)</f>
        <v>8</v>
      </c>
      <c r="AA87" s="137">
        <f>Y87/Z87</f>
        <v>180.25</v>
      </c>
      <c r="AB87" s="135">
        <f>D87*Z87</f>
        <v>104</v>
      </c>
      <c r="AC87" s="135">
        <f>Y87+AB87</f>
        <v>1546</v>
      </c>
      <c r="AD87" s="147">
        <f>SUM(AC86:AC87)</f>
        <v>3070</v>
      </c>
    </row>
    <row r="88" spans="1:30" s="12" customFormat="1" ht="18" customHeight="1">
      <c r="A88" s="133">
        <v>73</v>
      </c>
      <c r="B88" s="134" t="s">
        <v>148</v>
      </c>
      <c r="C88" s="135" t="s">
        <v>99</v>
      </c>
      <c r="D88" s="135">
        <v>4</v>
      </c>
      <c r="E88" s="135"/>
      <c r="F88" s="136">
        <f>VLOOKUP($B88,Quali!$B:$N,6,0)</f>
        <v>169</v>
      </c>
      <c r="G88" s="136">
        <f>VLOOKUP($B88,Quali!$B:$N,7,0)</f>
        <v>300</v>
      </c>
      <c r="H88" s="136">
        <f>VLOOKUP($B88,Quali!$B:$N,8,0)</f>
        <v>167</v>
      </c>
      <c r="I88" s="136">
        <f>VLOOKUP($B88,Quali!$B:$N,9,0)</f>
        <v>217</v>
      </c>
      <c r="J88" s="136">
        <f>VLOOKUP($B88,Quali!$B:$N,10,0)</f>
        <v>181</v>
      </c>
      <c r="K88" s="136">
        <f>VLOOKUP($B88,Quali!$B:$N,11,0)</f>
        <v>190</v>
      </c>
      <c r="L88" s="136">
        <f>VLOOKUP($B88,Quali!$B:$N,12,0)</f>
        <v>175</v>
      </c>
      <c r="M88" s="142">
        <f>VLOOKUP($B88,Quali!$B:$N,13,0)</f>
        <v>199</v>
      </c>
      <c r="N88" s="140"/>
      <c r="O88" s="136"/>
      <c r="P88" s="136"/>
      <c r="Q88" s="136"/>
      <c r="R88" s="136"/>
      <c r="S88" s="136"/>
      <c r="T88" s="136"/>
      <c r="U88" s="136"/>
      <c r="V88" s="136"/>
      <c r="W88" s="136"/>
      <c r="X88" s="136"/>
      <c r="Y88" s="136">
        <f>SUM(F88:X88)</f>
        <v>1598</v>
      </c>
      <c r="Z88" s="136">
        <f>COUNT(F88:X88)</f>
        <v>8</v>
      </c>
      <c r="AA88" s="137">
        <f>Y88/Z88</f>
        <v>199.75</v>
      </c>
      <c r="AB88" s="135">
        <f>D88*Z88</f>
        <v>32</v>
      </c>
      <c r="AC88" s="135">
        <f>Y88+AB88</f>
        <v>1630</v>
      </c>
      <c r="AD88" s="145">
        <f>AD89</f>
        <v>2986</v>
      </c>
    </row>
    <row r="89" spans="1:30" s="12" customFormat="1" ht="18" customHeight="1">
      <c r="A89" s="133">
        <v>74</v>
      </c>
      <c r="B89" s="134" t="s">
        <v>187</v>
      </c>
      <c r="C89" s="135" t="s">
        <v>99</v>
      </c>
      <c r="D89" s="135">
        <v>23</v>
      </c>
      <c r="E89" s="135"/>
      <c r="F89" s="136">
        <f>VLOOKUP($B89,Quali!$B:$N,6,0)</f>
        <v>144</v>
      </c>
      <c r="G89" s="136">
        <f>VLOOKUP($B89,Quali!$B:$N,7,0)</f>
        <v>134</v>
      </c>
      <c r="H89" s="136">
        <f>VLOOKUP($B89,Quali!$B:$N,8,0)</f>
        <v>153</v>
      </c>
      <c r="I89" s="136">
        <f>VLOOKUP($B89,Quali!$B:$N,9,0)</f>
        <v>121</v>
      </c>
      <c r="J89" s="136">
        <f>VLOOKUP($B89,Quali!$B:$N,10,0)</f>
        <v>163</v>
      </c>
      <c r="K89" s="136">
        <f>VLOOKUP($B89,Quali!$B:$N,11,0)</f>
        <v>173</v>
      </c>
      <c r="L89" s="136">
        <f>VLOOKUP($B89,Quali!$B:$N,12,0)</f>
        <v>125</v>
      </c>
      <c r="M89" s="142">
        <f>VLOOKUP($B89,Quali!$B:$N,13,0)</f>
        <v>159</v>
      </c>
      <c r="N89" s="140"/>
      <c r="O89" s="136"/>
      <c r="P89" s="136"/>
      <c r="Q89" s="136"/>
      <c r="R89" s="136"/>
      <c r="S89" s="136"/>
      <c r="T89" s="136"/>
      <c r="U89" s="136"/>
      <c r="V89" s="136"/>
      <c r="W89" s="136"/>
      <c r="X89" s="136"/>
      <c r="Y89" s="135">
        <f>SUM(F89:X89)</f>
        <v>1172</v>
      </c>
      <c r="Z89" s="135">
        <f>COUNT(F89:X89)</f>
        <v>8</v>
      </c>
      <c r="AA89" s="137">
        <f>Y89/Z89</f>
        <v>146.5</v>
      </c>
      <c r="AB89" s="135">
        <f>D89*Z89</f>
        <v>184</v>
      </c>
      <c r="AC89" s="135">
        <f>Y89+AB89</f>
        <v>1356</v>
      </c>
      <c r="AD89" s="147">
        <f>SUM(AC88:AC89)</f>
        <v>2986</v>
      </c>
    </row>
    <row r="90" spans="1:30" s="12" customFormat="1" ht="18" customHeight="1">
      <c r="A90" s="133">
        <v>75</v>
      </c>
      <c r="B90" s="134" t="s">
        <v>115</v>
      </c>
      <c r="C90" s="135" t="s">
        <v>99</v>
      </c>
      <c r="D90" s="135">
        <v>17</v>
      </c>
      <c r="E90" s="135"/>
      <c r="F90" s="136">
        <f>VLOOKUP($B90,Quali!$B:$N,6,0)</f>
        <v>168</v>
      </c>
      <c r="G90" s="136">
        <f>VLOOKUP($B90,Quali!$B:$N,7,0)</f>
        <v>170</v>
      </c>
      <c r="H90" s="136">
        <f>VLOOKUP($B90,Quali!$B:$N,8,0)</f>
        <v>174</v>
      </c>
      <c r="I90" s="136">
        <f>VLOOKUP($B90,Quali!$B:$N,9,0)</f>
        <v>168</v>
      </c>
      <c r="J90" s="136">
        <f>VLOOKUP($B90,Quali!$B:$N,10,0)</f>
        <v>166</v>
      </c>
      <c r="K90" s="136">
        <f>VLOOKUP($B90,Quali!$B:$N,11,0)</f>
        <v>177</v>
      </c>
      <c r="L90" s="136">
        <f>VLOOKUP($B90,Quali!$B:$N,12,0)</f>
        <v>158</v>
      </c>
      <c r="M90" s="142">
        <f>VLOOKUP($B90,Quali!$B:$N,13,0)</f>
        <v>170</v>
      </c>
      <c r="N90" s="140"/>
      <c r="O90" s="136"/>
      <c r="P90" s="136"/>
      <c r="Q90" s="136"/>
      <c r="R90" s="136"/>
      <c r="S90" s="136"/>
      <c r="T90" s="136"/>
      <c r="U90" s="136"/>
      <c r="V90" s="136"/>
      <c r="W90" s="136"/>
      <c r="X90" s="136"/>
      <c r="Y90" s="136">
        <f>SUM(F90:X90)</f>
        <v>1351</v>
      </c>
      <c r="Z90" s="136">
        <f>COUNT(F90:X90)</f>
        <v>8</v>
      </c>
      <c r="AA90" s="137">
        <f>Y90/Z90</f>
        <v>168.875</v>
      </c>
      <c r="AB90" s="135">
        <f>D90*Z90</f>
        <v>136</v>
      </c>
      <c r="AC90" s="135">
        <f>Y90+AB90</f>
        <v>1487</v>
      </c>
      <c r="AD90" s="145">
        <f>AD91</f>
        <v>2891</v>
      </c>
    </row>
    <row r="91" spans="1:30" s="12" customFormat="1" ht="18" customHeight="1">
      <c r="A91" s="133">
        <v>76</v>
      </c>
      <c r="B91" s="134" t="s">
        <v>116</v>
      </c>
      <c r="C91" s="135" t="s">
        <v>99</v>
      </c>
      <c r="D91" s="135">
        <v>16</v>
      </c>
      <c r="E91" s="135"/>
      <c r="F91" s="136">
        <f>VLOOKUP($B91,Quali!$B:$N,6,0)</f>
        <v>156</v>
      </c>
      <c r="G91" s="136">
        <f>VLOOKUP($B91,Quali!$B:$N,7,0)</f>
        <v>149</v>
      </c>
      <c r="H91" s="136">
        <f>VLOOKUP($B91,Quali!$B:$N,8,0)</f>
        <v>176</v>
      </c>
      <c r="I91" s="136">
        <f>VLOOKUP($B91,Quali!$B:$N,9,0)</f>
        <v>149</v>
      </c>
      <c r="J91" s="136">
        <f>VLOOKUP($B91,Quali!$B:$N,10,0)</f>
        <v>159</v>
      </c>
      <c r="K91" s="136">
        <f>VLOOKUP($B91,Quali!$B:$N,11,0)</f>
        <v>152</v>
      </c>
      <c r="L91" s="136">
        <f>VLOOKUP($B91,Quali!$B:$N,12,0)</f>
        <v>163</v>
      </c>
      <c r="M91" s="142">
        <f>VLOOKUP($B91,Quali!$B:$N,13,0)</f>
        <v>172</v>
      </c>
      <c r="N91" s="140"/>
      <c r="O91" s="136"/>
      <c r="P91" s="136"/>
      <c r="Q91" s="136"/>
      <c r="R91" s="136"/>
      <c r="S91" s="136"/>
      <c r="T91" s="136"/>
      <c r="U91" s="136"/>
      <c r="V91" s="136"/>
      <c r="W91" s="136"/>
      <c r="X91" s="136"/>
      <c r="Y91" s="135">
        <f>SUM(F91:X91)</f>
        <v>1276</v>
      </c>
      <c r="Z91" s="135">
        <f>COUNT(F91:X91)</f>
        <v>8</v>
      </c>
      <c r="AA91" s="137">
        <f>Y91/Z91</f>
        <v>159.5</v>
      </c>
      <c r="AB91" s="135">
        <f>D91*Z91</f>
        <v>128</v>
      </c>
      <c r="AC91" s="135">
        <f>Y91+AB91</f>
        <v>1404</v>
      </c>
      <c r="AD91" s="147">
        <f>SUM(AC90:AC91)</f>
        <v>2891</v>
      </c>
    </row>
    <row r="92" spans="1:30" s="12" customFormat="1" ht="18" customHeight="1">
      <c r="A92" s="133">
        <v>77</v>
      </c>
      <c r="B92" s="134"/>
      <c r="C92" s="135"/>
      <c r="D92" s="135"/>
      <c r="E92" s="135"/>
      <c r="F92" s="136">
        <f>VLOOKUP($B92,Quali!$B:$N,6,0)</f>
        <v>0</v>
      </c>
      <c r="G92" s="136">
        <f>VLOOKUP($B92,Quali!$B:$N,7,0)</f>
        <v>0</v>
      </c>
      <c r="H92" s="136">
        <f>VLOOKUP($B92,Quali!$B:$N,8,0)</f>
        <v>0</v>
      </c>
      <c r="I92" s="136">
        <f>VLOOKUP($B92,Quali!$B:$N,9,0)</f>
        <v>0</v>
      </c>
      <c r="J92" s="136">
        <f>VLOOKUP($B92,Quali!$B:$N,10,0)</f>
        <v>0</v>
      </c>
      <c r="K92" s="136">
        <f>VLOOKUP($B92,Quali!$B:$N,11,0)</f>
        <v>0</v>
      </c>
      <c r="L92" s="136">
        <f>VLOOKUP($B92,Quali!$B:$N,12,0)</f>
        <v>0</v>
      </c>
      <c r="M92" s="142">
        <f>VLOOKUP($B92,Quali!$B:$N,13,0)</f>
        <v>0</v>
      </c>
      <c r="N92" s="140"/>
      <c r="O92" s="136"/>
      <c r="P92" s="136"/>
      <c r="Q92" s="136"/>
      <c r="R92" s="136"/>
      <c r="S92" s="136"/>
      <c r="T92" s="136"/>
      <c r="U92" s="136"/>
      <c r="V92" s="136"/>
      <c r="W92" s="136"/>
      <c r="X92" s="136"/>
      <c r="Y92" s="136">
        <f>SUM(F92:X92)</f>
        <v>0</v>
      </c>
      <c r="Z92" s="136">
        <f>COUNT(F92:X92)</f>
        <v>8</v>
      </c>
      <c r="AA92" s="137">
        <f>Y92/Z92</f>
        <v>0</v>
      </c>
      <c r="AB92" s="135">
        <f>D92*Z92</f>
        <v>0</v>
      </c>
      <c r="AC92" s="135">
        <f>Y92+AB92</f>
        <v>0</v>
      </c>
      <c r="AD92" s="145">
        <f>AD93</f>
        <v>0</v>
      </c>
    </row>
    <row r="93" spans="1:30" s="12" customFormat="1" ht="18" customHeight="1">
      <c r="A93" s="133">
        <v>78</v>
      </c>
      <c r="B93" s="134"/>
      <c r="C93" s="135"/>
      <c r="D93" s="135"/>
      <c r="E93" s="135"/>
      <c r="F93" s="136">
        <f>VLOOKUP($B93,Quali!$B:$N,6,0)</f>
        <v>0</v>
      </c>
      <c r="G93" s="136">
        <f>VLOOKUP($B93,Quali!$B:$N,7,0)</f>
        <v>0</v>
      </c>
      <c r="H93" s="136">
        <f>VLOOKUP($B93,Quali!$B:$N,8,0)</f>
        <v>0</v>
      </c>
      <c r="I93" s="136">
        <f>VLOOKUP($B93,Quali!$B:$N,9,0)</f>
        <v>0</v>
      </c>
      <c r="J93" s="136">
        <f>VLOOKUP($B93,Quali!$B:$N,10,0)</f>
        <v>0</v>
      </c>
      <c r="K93" s="136">
        <f>VLOOKUP($B93,Quali!$B:$N,11,0)</f>
        <v>0</v>
      </c>
      <c r="L93" s="136">
        <f>VLOOKUP($B93,Quali!$B:$N,12,0)</f>
        <v>0</v>
      </c>
      <c r="M93" s="142">
        <f>VLOOKUP($B93,Quali!$B:$N,13,0)</f>
        <v>0</v>
      </c>
      <c r="N93" s="140"/>
      <c r="O93" s="136"/>
      <c r="P93" s="136"/>
      <c r="Q93" s="136"/>
      <c r="R93" s="136"/>
      <c r="S93" s="136"/>
      <c r="T93" s="136"/>
      <c r="U93" s="136"/>
      <c r="V93" s="136"/>
      <c r="W93" s="136"/>
      <c r="X93" s="136"/>
      <c r="Y93" s="135">
        <f>SUM(F93:X93)</f>
        <v>0</v>
      </c>
      <c r="Z93" s="135">
        <f>COUNT(F93:X93)</f>
        <v>8</v>
      </c>
      <c r="AA93" s="137">
        <f>Y93/Z93</f>
        <v>0</v>
      </c>
      <c r="AB93" s="135">
        <f>D93*Z93</f>
        <v>0</v>
      </c>
      <c r="AC93" s="135">
        <f>Y93+AB93</f>
        <v>0</v>
      </c>
      <c r="AD93" s="147">
        <f>SUM(AC92:AC93)</f>
        <v>0</v>
      </c>
    </row>
    <row r="94" spans="1:30" s="12" customFormat="1" ht="18" customHeight="1">
      <c r="A94" s="133">
        <v>79</v>
      </c>
      <c r="B94" s="134"/>
      <c r="C94" s="135"/>
      <c r="D94" s="135"/>
      <c r="E94" s="135"/>
      <c r="F94" s="136">
        <f>VLOOKUP($B94,Quali!$B:$N,6,0)</f>
        <v>0</v>
      </c>
      <c r="G94" s="136">
        <f>VLOOKUP($B94,Quali!$B:$N,7,0)</f>
        <v>0</v>
      </c>
      <c r="H94" s="136">
        <f>VLOOKUP($B94,Quali!$B:$N,8,0)</f>
        <v>0</v>
      </c>
      <c r="I94" s="136">
        <f>VLOOKUP($B94,Quali!$B:$N,9,0)</f>
        <v>0</v>
      </c>
      <c r="J94" s="136">
        <f>VLOOKUP($B94,Quali!$B:$N,10,0)</f>
        <v>0</v>
      </c>
      <c r="K94" s="136">
        <f>VLOOKUP($B94,Quali!$B:$N,11,0)</f>
        <v>0</v>
      </c>
      <c r="L94" s="136">
        <f>VLOOKUP($B94,Quali!$B:$N,12,0)</f>
        <v>0</v>
      </c>
      <c r="M94" s="142">
        <f>VLOOKUP($B94,Quali!$B:$N,13,0)</f>
        <v>0</v>
      </c>
      <c r="N94" s="140"/>
      <c r="O94" s="136"/>
      <c r="P94" s="136"/>
      <c r="Q94" s="136"/>
      <c r="R94" s="136"/>
      <c r="S94" s="136"/>
      <c r="T94" s="136"/>
      <c r="U94" s="136"/>
      <c r="V94" s="136"/>
      <c r="W94" s="136"/>
      <c r="X94" s="136"/>
      <c r="Y94" s="136">
        <f>SUM(F94:X94)</f>
        <v>0</v>
      </c>
      <c r="Z94" s="136">
        <f>COUNT(F94:X94)</f>
        <v>8</v>
      </c>
      <c r="AA94" s="137">
        <f>Y94/Z94</f>
        <v>0</v>
      </c>
      <c r="AB94" s="135">
        <f>D94*Z94</f>
        <v>0</v>
      </c>
      <c r="AC94" s="135">
        <f>Y94+AB94</f>
        <v>0</v>
      </c>
      <c r="AD94" s="145">
        <f>AD95</f>
        <v>0</v>
      </c>
    </row>
    <row r="95" spans="1:30" s="12" customFormat="1" ht="18" customHeight="1">
      <c r="A95" s="133">
        <v>80</v>
      </c>
      <c r="B95" s="134"/>
      <c r="C95" s="135"/>
      <c r="D95" s="135"/>
      <c r="E95" s="135"/>
      <c r="F95" s="136">
        <f>VLOOKUP($B95,Quali!$B:$N,6,0)</f>
        <v>0</v>
      </c>
      <c r="G95" s="136">
        <f>VLOOKUP($B95,Quali!$B:$N,7,0)</f>
        <v>0</v>
      </c>
      <c r="H95" s="136">
        <f>VLOOKUP($B95,Quali!$B:$N,8,0)</f>
        <v>0</v>
      </c>
      <c r="I95" s="136">
        <f>VLOOKUP($B95,Quali!$B:$N,9,0)</f>
        <v>0</v>
      </c>
      <c r="J95" s="136">
        <f>VLOOKUP($B95,Quali!$B:$N,10,0)</f>
        <v>0</v>
      </c>
      <c r="K95" s="136">
        <f>VLOOKUP($B95,Quali!$B:$N,11,0)</f>
        <v>0</v>
      </c>
      <c r="L95" s="136">
        <f>VLOOKUP($B95,Quali!$B:$N,12,0)</f>
        <v>0</v>
      </c>
      <c r="M95" s="142">
        <f>VLOOKUP($B95,Quali!$B:$N,13,0)</f>
        <v>0</v>
      </c>
      <c r="N95" s="140"/>
      <c r="O95" s="136"/>
      <c r="P95" s="136"/>
      <c r="Q95" s="136"/>
      <c r="R95" s="136"/>
      <c r="S95" s="136"/>
      <c r="T95" s="136"/>
      <c r="U95" s="136"/>
      <c r="V95" s="136"/>
      <c r="W95" s="136"/>
      <c r="X95" s="136"/>
      <c r="Y95" s="135">
        <f>SUM(F95:X95)</f>
        <v>0</v>
      </c>
      <c r="Z95" s="135">
        <f>COUNT(F95:X95)</f>
        <v>8</v>
      </c>
      <c r="AA95" s="137">
        <f>Y95/Z95</f>
        <v>0</v>
      </c>
      <c r="AB95" s="135">
        <f>D95*Z95</f>
        <v>0</v>
      </c>
      <c r="AC95" s="135">
        <f>Y95+AB95</f>
        <v>0</v>
      </c>
      <c r="AD95" s="147">
        <f>SUM(AC94:AC95)</f>
        <v>0</v>
      </c>
    </row>
    <row r="96" spans="1:30" s="12" customFormat="1" ht="18" customHeight="1">
      <c r="A96" s="133">
        <v>81</v>
      </c>
      <c r="B96" s="138"/>
      <c r="C96" s="135"/>
      <c r="D96" s="135"/>
      <c r="E96" s="135"/>
      <c r="F96" s="136">
        <f>VLOOKUP($B96,Quali!$B:$N,6,0)</f>
        <v>0</v>
      </c>
      <c r="G96" s="136">
        <f>VLOOKUP($B96,Quali!$B:$N,7,0)</f>
        <v>0</v>
      </c>
      <c r="H96" s="136">
        <f>VLOOKUP($B96,Quali!$B:$N,8,0)</f>
        <v>0</v>
      </c>
      <c r="I96" s="136">
        <f>VLOOKUP($B96,Quali!$B:$N,9,0)</f>
        <v>0</v>
      </c>
      <c r="J96" s="136">
        <f>VLOOKUP($B96,Quali!$B:$N,10,0)</f>
        <v>0</v>
      </c>
      <c r="K96" s="136">
        <f>VLOOKUP($B96,Quali!$B:$N,11,0)</f>
        <v>0</v>
      </c>
      <c r="L96" s="136">
        <f>VLOOKUP($B96,Quali!$B:$N,12,0)</f>
        <v>0</v>
      </c>
      <c r="M96" s="142">
        <f>VLOOKUP($B96,Quali!$B:$N,13,0)</f>
        <v>0</v>
      </c>
      <c r="N96" s="140"/>
      <c r="O96" s="136"/>
      <c r="P96" s="136"/>
      <c r="Q96" s="136"/>
      <c r="R96" s="136"/>
      <c r="S96" s="136"/>
      <c r="T96" s="136"/>
      <c r="U96" s="136"/>
      <c r="V96" s="136"/>
      <c r="W96" s="136"/>
      <c r="X96" s="136"/>
      <c r="Y96" s="136">
        <f>SUM(F96:X96)</f>
        <v>0</v>
      </c>
      <c r="Z96" s="136">
        <f>COUNT(F96:X96)</f>
        <v>8</v>
      </c>
      <c r="AA96" s="137">
        <f>Y96/Z96</f>
        <v>0</v>
      </c>
      <c r="AB96" s="135">
        <f>D96*Z96</f>
        <v>0</v>
      </c>
      <c r="AC96" s="135">
        <f>Y96+AB96</f>
        <v>0</v>
      </c>
      <c r="AD96" s="145">
        <f>AD97</f>
        <v>0</v>
      </c>
    </row>
    <row r="97" spans="1:30" s="12" customFormat="1" ht="18" customHeight="1">
      <c r="A97" s="133">
        <v>82</v>
      </c>
      <c r="B97" s="134"/>
      <c r="C97" s="135"/>
      <c r="D97" s="135"/>
      <c r="E97" s="135"/>
      <c r="F97" s="136">
        <f>VLOOKUP($B97,Quali!$B:$N,6,0)</f>
        <v>0</v>
      </c>
      <c r="G97" s="136">
        <f>VLOOKUP($B97,Quali!$B:$N,7,0)</f>
        <v>0</v>
      </c>
      <c r="H97" s="136">
        <f>VLOOKUP($B97,Quali!$B:$N,8,0)</f>
        <v>0</v>
      </c>
      <c r="I97" s="136">
        <f>VLOOKUP($B97,Quali!$B:$N,9,0)</f>
        <v>0</v>
      </c>
      <c r="J97" s="136">
        <f>VLOOKUP($B97,Quali!$B:$N,10,0)</f>
        <v>0</v>
      </c>
      <c r="K97" s="136">
        <f>VLOOKUP($B97,Quali!$B:$N,11,0)</f>
        <v>0</v>
      </c>
      <c r="L97" s="136">
        <f>VLOOKUP($B97,Quali!$B:$N,12,0)</f>
        <v>0</v>
      </c>
      <c r="M97" s="142">
        <f>VLOOKUP($B97,Quali!$B:$N,13,0)</f>
        <v>0</v>
      </c>
      <c r="N97" s="140"/>
      <c r="O97" s="136"/>
      <c r="P97" s="136"/>
      <c r="Q97" s="136"/>
      <c r="R97" s="136"/>
      <c r="S97" s="136"/>
      <c r="T97" s="136"/>
      <c r="U97" s="136"/>
      <c r="V97" s="136"/>
      <c r="W97" s="136"/>
      <c r="X97" s="136"/>
      <c r="Y97" s="135">
        <f>SUM(F97:X97)</f>
        <v>0</v>
      </c>
      <c r="Z97" s="135">
        <f>COUNT(F97:X97)</f>
        <v>8</v>
      </c>
      <c r="AA97" s="137">
        <f>Y97/Z97</f>
        <v>0</v>
      </c>
      <c r="AB97" s="135">
        <f>D97*Z97</f>
        <v>0</v>
      </c>
      <c r="AC97" s="135">
        <f>Y97+AB97</f>
        <v>0</v>
      </c>
      <c r="AD97" s="147">
        <f>SUM(AC96:AC97)</f>
        <v>0</v>
      </c>
    </row>
    <row r="98" spans="1:30" s="12" customFormat="1" ht="18" customHeight="1">
      <c r="A98" s="133">
        <v>83</v>
      </c>
      <c r="B98" s="134"/>
      <c r="C98" s="135"/>
      <c r="D98" s="135"/>
      <c r="E98" s="135"/>
      <c r="F98" s="136">
        <f>VLOOKUP($B98,Quali!$B:$N,6,0)</f>
        <v>0</v>
      </c>
      <c r="G98" s="136">
        <f>VLOOKUP($B98,Quali!$B:$N,7,0)</f>
        <v>0</v>
      </c>
      <c r="H98" s="136">
        <f>VLOOKUP($B98,Quali!$B:$N,8,0)</f>
        <v>0</v>
      </c>
      <c r="I98" s="136">
        <f>VLOOKUP($B98,Quali!$B:$N,9,0)</f>
        <v>0</v>
      </c>
      <c r="J98" s="136">
        <f>VLOOKUP($B98,Quali!$B:$N,10,0)</f>
        <v>0</v>
      </c>
      <c r="K98" s="136">
        <f>VLOOKUP($B98,Quali!$B:$N,11,0)</f>
        <v>0</v>
      </c>
      <c r="L98" s="136">
        <f>VLOOKUP($B98,Quali!$B:$N,12,0)</f>
        <v>0</v>
      </c>
      <c r="M98" s="142">
        <f>VLOOKUP($B98,Quali!$B:$N,13,0)</f>
        <v>0</v>
      </c>
      <c r="N98" s="140"/>
      <c r="O98" s="136"/>
      <c r="P98" s="136"/>
      <c r="Q98" s="136"/>
      <c r="R98" s="136"/>
      <c r="S98" s="136"/>
      <c r="T98" s="136"/>
      <c r="U98" s="136"/>
      <c r="V98" s="136"/>
      <c r="W98" s="136"/>
      <c r="X98" s="136"/>
      <c r="Y98" s="136">
        <f>SUM(F98:X98)</f>
        <v>0</v>
      </c>
      <c r="Z98" s="136">
        <f>COUNT(F98:X98)</f>
        <v>8</v>
      </c>
      <c r="AA98" s="137">
        <f>Y98/Z98</f>
        <v>0</v>
      </c>
      <c r="AB98" s="135">
        <f>D98*Z98</f>
        <v>0</v>
      </c>
      <c r="AC98" s="135">
        <f>Y98+AB98</f>
        <v>0</v>
      </c>
      <c r="AD98" s="145">
        <f>AD99</f>
        <v>0</v>
      </c>
    </row>
    <row r="99" spans="1:30" s="12" customFormat="1" ht="18" customHeight="1">
      <c r="A99" s="133">
        <v>84</v>
      </c>
      <c r="B99" s="134"/>
      <c r="C99" s="135"/>
      <c r="D99" s="135"/>
      <c r="E99" s="135"/>
      <c r="F99" s="136">
        <f>VLOOKUP($B99,Quali!$B:$N,6,0)</f>
        <v>0</v>
      </c>
      <c r="G99" s="136">
        <f>VLOOKUP($B99,Quali!$B:$N,7,0)</f>
        <v>0</v>
      </c>
      <c r="H99" s="136">
        <f>VLOOKUP($B99,Quali!$B:$N,8,0)</f>
        <v>0</v>
      </c>
      <c r="I99" s="136">
        <f>VLOOKUP($B99,Quali!$B:$N,9,0)</f>
        <v>0</v>
      </c>
      <c r="J99" s="136">
        <f>VLOOKUP($B99,Quali!$B:$N,10,0)</f>
        <v>0</v>
      </c>
      <c r="K99" s="136">
        <f>VLOOKUP($B99,Quali!$B:$N,11,0)</f>
        <v>0</v>
      </c>
      <c r="L99" s="136">
        <f>VLOOKUP($B99,Quali!$B:$N,12,0)</f>
        <v>0</v>
      </c>
      <c r="M99" s="142">
        <f>VLOOKUP($B99,Quali!$B:$N,13,0)</f>
        <v>0</v>
      </c>
      <c r="N99" s="140"/>
      <c r="O99" s="136"/>
      <c r="P99" s="136"/>
      <c r="Q99" s="136"/>
      <c r="R99" s="136"/>
      <c r="S99" s="136"/>
      <c r="T99" s="136"/>
      <c r="U99" s="136"/>
      <c r="V99" s="136"/>
      <c r="W99" s="136"/>
      <c r="X99" s="136"/>
      <c r="Y99" s="135">
        <f>SUM(F99:X99)</f>
        <v>0</v>
      </c>
      <c r="Z99" s="135">
        <f>COUNT(F99:X99)</f>
        <v>8</v>
      </c>
      <c r="AA99" s="137">
        <f>Y99/Z99</f>
        <v>0</v>
      </c>
      <c r="AB99" s="135">
        <f>D99*Z99</f>
        <v>0</v>
      </c>
      <c r="AC99" s="135">
        <f>Y99+AB99</f>
        <v>0</v>
      </c>
      <c r="AD99" s="147">
        <f>SUM(AC98:AC99)</f>
        <v>0</v>
      </c>
    </row>
    <row r="100" spans="1:30" s="12" customFormat="1" ht="18" customHeight="1">
      <c r="A100" s="133">
        <v>85</v>
      </c>
      <c r="B100" s="134"/>
      <c r="C100" s="135"/>
      <c r="D100" s="135"/>
      <c r="E100" s="135"/>
      <c r="F100" s="136">
        <f>VLOOKUP($B100,Quali!$B:$N,6,0)</f>
        <v>0</v>
      </c>
      <c r="G100" s="136">
        <f>VLOOKUP($B100,Quali!$B:$N,7,0)</f>
        <v>0</v>
      </c>
      <c r="H100" s="136">
        <f>VLOOKUP($B100,Quali!$B:$N,8,0)</f>
        <v>0</v>
      </c>
      <c r="I100" s="136">
        <f>VLOOKUP($B100,Quali!$B:$N,9,0)</f>
        <v>0</v>
      </c>
      <c r="J100" s="136">
        <f>VLOOKUP($B100,Quali!$B:$N,10,0)</f>
        <v>0</v>
      </c>
      <c r="K100" s="136">
        <f>VLOOKUP($B100,Quali!$B:$N,11,0)</f>
        <v>0</v>
      </c>
      <c r="L100" s="136">
        <f>VLOOKUP($B100,Quali!$B:$N,12,0)</f>
        <v>0</v>
      </c>
      <c r="M100" s="142">
        <f>VLOOKUP($B100,Quali!$B:$N,13,0)</f>
        <v>0</v>
      </c>
      <c r="N100" s="140"/>
      <c r="O100" s="136"/>
      <c r="P100" s="136"/>
      <c r="Q100" s="136"/>
      <c r="R100" s="136"/>
      <c r="S100" s="136"/>
      <c r="T100" s="136"/>
      <c r="U100" s="136"/>
      <c r="V100" s="136"/>
      <c r="W100" s="136"/>
      <c r="X100" s="136"/>
      <c r="Y100" s="136">
        <f>SUM(F100:X100)</f>
        <v>0</v>
      </c>
      <c r="Z100" s="136">
        <f>COUNT(F100:X100)</f>
        <v>8</v>
      </c>
      <c r="AA100" s="137">
        <f>Y100/Z100</f>
        <v>0</v>
      </c>
      <c r="AB100" s="135">
        <f>D100*Z100</f>
        <v>0</v>
      </c>
      <c r="AC100" s="135">
        <f>Y100+AB100</f>
        <v>0</v>
      </c>
      <c r="AD100" s="145">
        <f>AD101</f>
        <v>0</v>
      </c>
    </row>
    <row r="101" spans="1:30" s="12" customFormat="1" ht="18" customHeight="1">
      <c r="A101" s="133">
        <v>86</v>
      </c>
      <c r="B101" s="134"/>
      <c r="C101" s="135"/>
      <c r="D101" s="135"/>
      <c r="E101" s="135"/>
      <c r="F101" s="136">
        <f>VLOOKUP($B101,Quali!$B:$N,6,0)</f>
        <v>0</v>
      </c>
      <c r="G101" s="136">
        <f>VLOOKUP($B101,Quali!$B:$N,7,0)</f>
        <v>0</v>
      </c>
      <c r="H101" s="136">
        <f>VLOOKUP($B101,Quali!$B:$N,8,0)</f>
        <v>0</v>
      </c>
      <c r="I101" s="136">
        <f>VLOOKUP($B101,Quali!$B:$N,9,0)</f>
        <v>0</v>
      </c>
      <c r="J101" s="136">
        <f>VLOOKUP($B101,Quali!$B:$N,10,0)</f>
        <v>0</v>
      </c>
      <c r="K101" s="136">
        <f>VLOOKUP($B101,Quali!$B:$N,11,0)</f>
        <v>0</v>
      </c>
      <c r="L101" s="136">
        <f>VLOOKUP($B101,Quali!$B:$N,12,0)</f>
        <v>0</v>
      </c>
      <c r="M101" s="142">
        <f>VLOOKUP($B101,Quali!$B:$N,13,0)</f>
        <v>0</v>
      </c>
      <c r="N101" s="140"/>
      <c r="O101" s="136"/>
      <c r="P101" s="136"/>
      <c r="Q101" s="136"/>
      <c r="R101" s="136"/>
      <c r="S101" s="136"/>
      <c r="T101" s="136"/>
      <c r="U101" s="136"/>
      <c r="V101" s="136"/>
      <c r="W101" s="136"/>
      <c r="X101" s="136"/>
      <c r="Y101" s="135">
        <f>SUM(F101:X101)</f>
        <v>0</v>
      </c>
      <c r="Z101" s="135">
        <f>COUNT(F101:X101)</f>
        <v>8</v>
      </c>
      <c r="AA101" s="137">
        <f>Y101/Z101</f>
        <v>0</v>
      </c>
      <c r="AB101" s="135">
        <f>D101*Z101</f>
        <v>0</v>
      </c>
      <c r="AC101" s="135">
        <f>Y101+AB101</f>
        <v>0</v>
      </c>
      <c r="AD101" s="147">
        <f>SUM(AC100:AC101)</f>
        <v>0</v>
      </c>
    </row>
    <row r="102" spans="1:30" ht="18" customHeight="1">
      <c r="A102" s="133">
        <v>87</v>
      </c>
      <c r="B102" s="138"/>
      <c r="C102" s="135"/>
      <c r="D102" s="135"/>
      <c r="E102" s="135"/>
      <c r="F102" s="136">
        <f>VLOOKUP($B102,Quali!$B:$N,6,0)</f>
        <v>0</v>
      </c>
      <c r="G102" s="136">
        <f>VLOOKUP($B102,Quali!$B:$N,7,0)</f>
        <v>0</v>
      </c>
      <c r="H102" s="136">
        <f>VLOOKUP($B102,Quali!$B:$N,8,0)</f>
        <v>0</v>
      </c>
      <c r="I102" s="136">
        <f>VLOOKUP($B102,Quali!$B:$N,9,0)</f>
        <v>0</v>
      </c>
      <c r="J102" s="136">
        <f>VLOOKUP($B102,Quali!$B:$N,10,0)</f>
        <v>0</v>
      </c>
      <c r="K102" s="136">
        <f>VLOOKUP($B102,Quali!$B:$N,11,0)</f>
        <v>0</v>
      </c>
      <c r="L102" s="136">
        <f>VLOOKUP($B102,Quali!$B:$N,12,0)</f>
        <v>0</v>
      </c>
      <c r="M102" s="142">
        <f>VLOOKUP($B102,Quali!$B:$N,13,0)</f>
        <v>0</v>
      </c>
      <c r="N102" s="140"/>
      <c r="O102" s="136"/>
      <c r="P102" s="136"/>
      <c r="Q102" s="136"/>
      <c r="R102" s="136"/>
      <c r="S102" s="136"/>
      <c r="T102" s="136"/>
      <c r="U102" s="136"/>
      <c r="V102" s="136"/>
      <c r="W102" s="136"/>
      <c r="X102" s="136"/>
      <c r="Y102" s="136">
        <f>SUM(F102:X102)</f>
        <v>0</v>
      </c>
      <c r="Z102" s="136">
        <f>COUNT(F102:X102)</f>
        <v>8</v>
      </c>
      <c r="AA102" s="137">
        <f>Y102/Z102</f>
        <v>0</v>
      </c>
      <c r="AB102" s="135">
        <f>D102*Z102</f>
        <v>0</v>
      </c>
      <c r="AC102" s="135">
        <f>Y102+AB102</f>
        <v>0</v>
      </c>
      <c r="AD102" s="145">
        <f>AD103</f>
        <v>0</v>
      </c>
    </row>
    <row r="103" spans="1:30" ht="18" customHeight="1">
      <c r="A103" s="133">
        <v>88</v>
      </c>
      <c r="B103" s="134"/>
      <c r="C103" s="135"/>
      <c r="D103" s="135"/>
      <c r="E103" s="135"/>
      <c r="F103" s="136">
        <f>VLOOKUP($B103,Quali!$B:$N,6,0)</f>
        <v>0</v>
      </c>
      <c r="G103" s="136">
        <f>VLOOKUP($B103,Quali!$B:$N,7,0)</f>
        <v>0</v>
      </c>
      <c r="H103" s="136">
        <f>VLOOKUP($B103,Quali!$B:$N,8,0)</f>
        <v>0</v>
      </c>
      <c r="I103" s="136">
        <f>VLOOKUP($B103,Quali!$B:$N,9,0)</f>
        <v>0</v>
      </c>
      <c r="J103" s="136">
        <f>VLOOKUP($B103,Quali!$B:$N,10,0)</f>
        <v>0</v>
      </c>
      <c r="K103" s="136">
        <f>VLOOKUP($B103,Quali!$B:$N,11,0)</f>
        <v>0</v>
      </c>
      <c r="L103" s="136">
        <f>VLOOKUP($B103,Quali!$B:$N,12,0)</f>
        <v>0</v>
      </c>
      <c r="M103" s="142">
        <f>VLOOKUP($B103,Quali!$B:$N,13,0)</f>
        <v>0</v>
      </c>
      <c r="N103" s="140"/>
      <c r="O103" s="136"/>
      <c r="P103" s="136"/>
      <c r="Q103" s="136"/>
      <c r="R103" s="136"/>
      <c r="S103" s="136"/>
      <c r="T103" s="136"/>
      <c r="U103" s="136"/>
      <c r="V103" s="136"/>
      <c r="W103" s="136"/>
      <c r="X103" s="136"/>
      <c r="Y103" s="135">
        <f>SUM(F103:X103)</f>
        <v>0</v>
      </c>
      <c r="Z103" s="135">
        <f>COUNT(F103:X103)</f>
        <v>8</v>
      </c>
      <c r="AA103" s="137">
        <f>Y103/Z103</f>
        <v>0</v>
      </c>
      <c r="AB103" s="135">
        <f>D103*Z103</f>
        <v>0</v>
      </c>
      <c r="AC103" s="135">
        <f>Y103+AB103</f>
        <v>0</v>
      </c>
      <c r="AD103" s="147">
        <f>SUM(AC102:AC103)</f>
        <v>0</v>
      </c>
    </row>
    <row r="104" spans="1:30" ht="18" customHeight="1">
      <c r="A104" s="133">
        <v>89</v>
      </c>
      <c r="B104" s="134"/>
      <c r="C104" s="135"/>
      <c r="D104" s="135"/>
      <c r="E104" s="135"/>
      <c r="F104" s="136">
        <f>VLOOKUP($B104,Quali!$B:$N,6,0)</f>
        <v>0</v>
      </c>
      <c r="G104" s="136">
        <f>VLOOKUP($B104,Quali!$B:$N,7,0)</f>
        <v>0</v>
      </c>
      <c r="H104" s="136">
        <f>VLOOKUP($B104,Quali!$B:$N,8,0)</f>
        <v>0</v>
      </c>
      <c r="I104" s="136">
        <f>VLOOKUP($B104,Quali!$B:$N,9,0)</f>
        <v>0</v>
      </c>
      <c r="J104" s="136">
        <f>VLOOKUP($B104,Quali!$B:$N,10,0)</f>
        <v>0</v>
      </c>
      <c r="K104" s="136">
        <f>VLOOKUP($B104,Quali!$B:$N,11,0)</f>
        <v>0</v>
      </c>
      <c r="L104" s="136">
        <f>VLOOKUP($B104,Quali!$B:$N,12,0)</f>
        <v>0</v>
      </c>
      <c r="M104" s="142">
        <f>VLOOKUP($B104,Quali!$B:$N,13,0)</f>
        <v>0</v>
      </c>
      <c r="N104" s="140"/>
      <c r="O104" s="136"/>
      <c r="P104" s="136"/>
      <c r="Q104" s="136"/>
      <c r="R104" s="136"/>
      <c r="S104" s="136"/>
      <c r="T104" s="136"/>
      <c r="U104" s="136"/>
      <c r="V104" s="136"/>
      <c r="W104" s="136"/>
      <c r="X104" s="136"/>
      <c r="Y104" s="136">
        <f>SUM(F104:X104)</f>
        <v>0</v>
      </c>
      <c r="Z104" s="136">
        <f>COUNT(F104:X104)</f>
        <v>8</v>
      </c>
      <c r="AA104" s="137">
        <f>Y104/Z104</f>
        <v>0</v>
      </c>
      <c r="AB104" s="135">
        <f>D104*Z104</f>
        <v>0</v>
      </c>
      <c r="AC104" s="135">
        <f>Y104+AB104</f>
        <v>0</v>
      </c>
      <c r="AD104" s="145">
        <f>AD105</f>
        <v>0</v>
      </c>
    </row>
    <row r="105" spans="1:30" ht="18" customHeight="1">
      <c r="A105" s="133">
        <v>90</v>
      </c>
      <c r="B105" s="134"/>
      <c r="C105" s="135"/>
      <c r="D105" s="135"/>
      <c r="E105" s="135"/>
      <c r="F105" s="136">
        <f>VLOOKUP($B105,Quali!$B:$N,6,0)</f>
        <v>0</v>
      </c>
      <c r="G105" s="136">
        <f>VLOOKUP($B105,Quali!$B:$N,7,0)</f>
        <v>0</v>
      </c>
      <c r="H105" s="136">
        <f>VLOOKUP($B105,Quali!$B:$N,8,0)</f>
        <v>0</v>
      </c>
      <c r="I105" s="136">
        <f>VLOOKUP($B105,Quali!$B:$N,9,0)</f>
        <v>0</v>
      </c>
      <c r="J105" s="136">
        <f>VLOOKUP($B105,Quali!$B:$N,10,0)</f>
        <v>0</v>
      </c>
      <c r="K105" s="136">
        <f>VLOOKUP($B105,Quali!$B:$N,11,0)</f>
        <v>0</v>
      </c>
      <c r="L105" s="136">
        <f>VLOOKUP($B105,Quali!$B:$N,12,0)</f>
        <v>0</v>
      </c>
      <c r="M105" s="142">
        <f>VLOOKUP($B105,Quali!$B:$N,13,0)</f>
        <v>0</v>
      </c>
      <c r="N105" s="140"/>
      <c r="O105" s="136"/>
      <c r="P105" s="136"/>
      <c r="Q105" s="136"/>
      <c r="R105" s="136"/>
      <c r="S105" s="136"/>
      <c r="T105" s="136"/>
      <c r="U105" s="136"/>
      <c r="V105" s="136"/>
      <c r="W105" s="136"/>
      <c r="X105" s="136"/>
      <c r="Y105" s="135">
        <f>SUM(F105:X105)</f>
        <v>0</v>
      </c>
      <c r="Z105" s="135">
        <f>COUNT(F105:X105)</f>
        <v>8</v>
      </c>
      <c r="AA105" s="137">
        <f>Y105/Z105</f>
        <v>0</v>
      </c>
      <c r="AB105" s="135">
        <f>D105*Z105</f>
        <v>0</v>
      </c>
      <c r="AC105" s="135">
        <f>Y105+AB105</f>
        <v>0</v>
      </c>
      <c r="AD105" s="147">
        <f>SUM(AC104:AC105)</f>
        <v>0</v>
      </c>
    </row>
    <row r="106" spans="1:30" s="12" customFormat="1" ht="18" customHeight="1">
      <c r="A106" s="133">
        <v>91</v>
      </c>
      <c r="B106" s="134"/>
      <c r="C106" s="135"/>
      <c r="D106" s="135"/>
      <c r="E106" s="135"/>
      <c r="F106" s="136">
        <f>VLOOKUP($B106,Quali!$B:$N,6,0)</f>
        <v>0</v>
      </c>
      <c r="G106" s="136">
        <f>VLOOKUP($B106,Quali!$B:$N,7,0)</f>
        <v>0</v>
      </c>
      <c r="H106" s="136">
        <f>VLOOKUP($B106,Quali!$B:$N,8,0)</f>
        <v>0</v>
      </c>
      <c r="I106" s="136">
        <f>VLOOKUP($B106,Quali!$B:$N,9,0)</f>
        <v>0</v>
      </c>
      <c r="J106" s="136">
        <f>VLOOKUP($B106,Quali!$B:$N,10,0)</f>
        <v>0</v>
      </c>
      <c r="K106" s="136">
        <f>VLOOKUP($B106,Quali!$B:$N,11,0)</f>
        <v>0</v>
      </c>
      <c r="L106" s="136">
        <f>VLOOKUP($B106,Quali!$B:$N,12,0)</f>
        <v>0</v>
      </c>
      <c r="M106" s="142">
        <f>VLOOKUP($B106,Quali!$B:$N,13,0)</f>
        <v>0</v>
      </c>
      <c r="N106" s="140"/>
      <c r="O106" s="136"/>
      <c r="P106" s="136"/>
      <c r="Q106" s="136"/>
      <c r="R106" s="136"/>
      <c r="S106" s="136"/>
      <c r="T106" s="136"/>
      <c r="U106" s="136"/>
      <c r="V106" s="136"/>
      <c r="W106" s="136"/>
      <c r="X106" s="136"/>
      <c r="Y106" s="136">
        <f>SUM(F106:X106)</f>
        <v>0</v>
      </c>
      <c r="Z106" s="136">
        <f>COUNT(F106:X106)</f>
        <v>8</v>
      </c>
      <c r="AA106" s="137">
        <f>Y106/Z106</f>
        <v>0</v>
      </c>
      <c r="AB106" s="135">
        <f>D106*Z106</f>
        <v>0</v>
      </c>
      <c r="AC106" s="135">
        <f>Y106+AB106</f>
        <v>0</v>
      </c>
      <c r="AD106" s="145">
        <f>AD107</f>
        <v>0</v>
      </c>
    </row>
    <row r="107" spans="1:30" s="12" customFormat="1" ht="18" customHeight="1">
      <c r="A107" s="133">
        <v>92</v>
      </c>
      <c r="B107" s="134"/>
      <c r="C107" s="135"/>
      <c r="D107" s="135"/>
      <c r="E107" s="135"/>
      <c r="F107" s="136">
        <f>VLOOKUP($B107,Quali!$B:$N,6,0)</f>
        <v>0</v>
      </c>
      <c r="G107" s="136">
        <f>VLOOKUP($B107,Quali!$B:$N,7,0)</f>
        <v>0</v>
      </c>
      <c r="H107" s="136">
        <f>VLOOKUP($B107,Quali!$B:$N,8,0)</f>
        <v>0</v>
      </c>
      <c r="I107" s="136">
        <f>VLOOKUP($B107,Quali!$B:$N,9,0)</f>
        <v>0</v>
      </c>
      <c r="J107" s="136">
        <f>VLOOKUP($B107,Quali!$B:$N,10,0)</f>
        <v>0</v>
      </c>
      <c r="K107" s="136">
        <f>VLOOKUP($B107,Quali!$B:$N,11,0)</f>
        <v>0</v>
      </c>
      <c r="L107" s="136">
        <f>VLOOKUP($B107,Quali!$B:$N,12,0)</f>
        <v>0</v>
      </c>
      <c r="M107" s="142">
        <f>VLOOKUP($B107,Quali!$B:$N,13,0)</f>
        <v>0</v>
      </c>
      <c r="N107" s="140"/>
      <c r="O107" s="136"/>
      <c r="P107" s="136"/>
      <c r="Q107" s="136"/>
      <c r="R107" s="136"/>
      <c r="S107" s="136"/>
      <c r="T107" s="136"/>
      <c r="U107" s="136"/>
      <c r="V107" s="136"/>
      <c r="W107" s="136"/>
      <c r="X107" s="136"/>
      <c r="Y107" s="135">
        <f>SUM(F107:X107)</f>
        <v>0</v>
      </c>
      <c r="Z107" s="135">
        <f>COUNT(F107:X107)</f>
        <v>8</v>
      </c>
      <c r="AA107" s="137">
        <f>Y107/Z107</f>
        <v>0</v>
      </c>
      <c r="AB107" s="135">
        <f>D107*Z107</f>
        <v>0</v>
      </c>
      <c r="AC107" s="135">
        <f>Y107+AB107</f>
        <v>0</v>
      </c>
      <c r="AD107" s="147">
        <f>SUM(AC106:AC107)</f>
        <v>0</v>
      </c>
    </row>
    <row r="108" spans="1:30" ht="15.75">
      <c r="A108" s="158"/>
      <c r="B108" s="159"/>
      <c r="C108" s="160"/>
      <c r="D108" s="160"/>
      <c r="E108" s="160"/>
      <c r="F108" s="136">
        <f>VLOOKUP($B108,Quali!$B:$N,6,0)</f>
        <v>0</v>
      </c>
      <c r="G108" s="136">
        <f>VLOOKUP($B108,Quali!$B:$N,7,0)</f>
        <v>0</v>
      </c>
      <c r="H108" s="136">
        <f>VLOOKUP($B108,Quali!$B:$N,8,0)</f>
        <v>0</v>
      </c>
      <c r="I108" s="136">
        <f>VLOOKUP($B108,Quali!$B:$N,9,0)</f>
        <v>0</v>
      </c>
      <c r="J108" s="136">
        <f>VLOOKUP($B108,Quali!$B:$N,10,0)</f>
        <v>0</v>
      </c>
      <c r="K108" s="136">
        <f>VLOOKUP($B108,Quali!$B:$N,11,0)</f>
        <v>0</v>
      </c>
      <c r="L108" s="136">
        <f>VLOOKUP($B108,Quali!$B:$N,12,0)</f>
        <v>0</v>
      </c>
      <c r="M108" s="142">
        <f>VLOOKUP($B108,Quali!$B:$N,13,0)</f>
        <v>0</v>
      </c>
      <c r="N108" s="163"/>
      <c r="O108" s="161"/>
      <c r="P108" s="161"/>
      <c r="Q108" s="161"/>
      <c r="R108" s="161"/>
      <c r="S108" s="161"/>
      <c r="T108" s="161"/>
      <c r="U108" s="161"/>
      <c r="V108" s="161"/>
      <c r="W108" s="161"/>
      <c r="X108" s="161"/>
      <c r="Y108" s="161">
        <f>SUM(F108:X108)</f>
        <v>0</v>
      </c>
      <c r="Z108" s="161">
        <f>COUNT(F108:X108)</f>
        <v>8</v>
      </c>
      <c r="AA108" s="166">
        <f>Y108/Z108</f>
        <v>0</v>
      </c>
      <c r="AB108" s="135">
        <f>D108*Z108</f>
        <v>0</v>
      </c>
      <c r="AC108" s="160">
        <f>Y108+AB108</f>
        <v>0</v>
      </c>
      <c r="AD108" s="167">
        <f>AD109</f>
        <v>0</v>
      </c>
    </row>
    <row r="109" spans="1:30" ht="15.75">
      <c r="A109" s="133"/>
      <c r="B109" s="134"/>
      <c r="C109" s="135"/>
      <c r="D109" s="135"/>
      <c r="E109" s="135"/>
      <c r="F109" s="136">
        <f>VLOOKUP($B109,Quali!$B:$N,6,0)</f>
        <v>0</v>
      </c>
      <c r="G109" s="136">
        <f>VLOOKUP($B109,Quali!$B:$N,7,0)</f>
        <v>0</v>
      </c>
      <c r="H109" s="136">
        <f>VLOOKUP($B109,Quali!$B:$N,8,0)</f>
        <v>0</v>
      </c>
      <c r="I109" s="136">
        <f>VLOOKUP($B109,Quali!$B:$N,9,0)</f>
        <v>0</v>
      </c>
      <c r="J109" s="136">
        <f>VLOOKUP($B109,Quali!$B:$N,10,0)</f>
        <v>0</v>
      </c>
      <c r="K109" s="136">
        <f>VLOOKUP($B109,Quali!$B:$N,11,0)</f>
        <v>0</v>
      </c>
      <c r="L109" s="136">
        <f>VLOOKUP($B109,Quali!$B:$N,12,0)</f>
        <v>0</v>
      </c>
      <c r="M109" s="142">
        <f>VLOOKUP($B109,Quali!$B:$N,13,0)</f>
        <v>0</v>
      </c>
      <c r="N109" s="140"/>
      <c r="O109" s="136"/>
      <c r="P109" s="136"/>
      <c r="Q109" s="136"/>
      <c r="R109" s="136"/>
      <c r="S109" s="136"/>
      <c r="T109" s="136"/>
      <c r="U109" s="136"/>
      <c r="V109" s="136"/>
      <c r="W109" s="136"/>
      <c r="X109" s="136"/>
      <c r="Y109" s="135">
        <f>SUM(F109:X109)</f>
        <v>0</v>
      </c>
      <c r="Z109" s="135">
        <f>COUNT(F109:X109)</f>
        <v>8</v>
      </c>
      <c r="AA109" s="137">
        <f>Y109/Z109</f>
        <v>0</v>
      </c>
      <c r="AB109" s="135">
        <f>D109*Z109</f>
        <v>0</v>
      </c>
      <c r="AC109" s="135">
        <f>Y109+AB109</f>
        <v>0</v>
      </c>
      <c r="AD109" s="147">
        <f>SUM(AC108:AC109)</f>
        <v>0</v>
      </c>
    </row>
    <row r="110" spans="1:30" ht="15.75">
      <c r="A110" s="158"/>
      <c r="B110" s="159"/>
      <c r="C110" s="160"/>
      <c r="D110" s="160"/>
      <c r="E110" s="160"/>
      <c r="F110" s="136">
        <f>VLOOKUP($B110,Quali!$B:$N,6,0)</f>
        <v>0</v>
      </c>
      <c r="G110" s="136">
        <f>VLOOKUP($B110,Quali!$B:$N,7,0)</f>
        <v>0</v>
      </c>
      <c r="H110" s="136">
        <f>VLOOKUP($B110,Quali!$B:$N,8,0)</f>
        <v>0</v>
      </c>
      <c r="I110" s="136">
        <f>VLOOKUP($B110,Quali!$B:$N,9,0)</f>
        <v>0</v>
      </c>
      <c r="J110" s="136">
        <f>VLOOKUP($B110,Quali!$B:$N,10,0)</f>
        <v>0</v>
      </c>
      <c r="K110" s="136">
        <f>VLOOKUP($B110,Quali!$B:$N,11,0)</f>
        <v>0</v>
      </c>
      <c r="L110" s="136">
        <f>VLOOKUP($B110,Quali!$B:$N,12,0)</f>
        <v>0</v>
      </c>
      <c r="M110" s="142">
        <f>VLOOKUP($B110,Quali!$B:$N,13,0)</f>
        <v>0</v>
      </c>
      <c r="N110" s="163"/>
      <c r="O110" s="161"/>
      <c r="P110" s="161"/>
      <c r="Q110" s="161"/>
      <c r="R110" s="161"/>
      <c r="S110" s="161"/>
      <c r="T110" s="161"/>
      <c r="U110" s="161"/>
      <c r="V110" s="161"/>
      <c r="W110" s="161"/>
      <c r="X110" s="161"/>
      <c r="Y110" s="161">
        <f>SUM(F110:X110)</f>
        <v>0</v>
      </c>
      <c r="Z110" s="161">
        <f>COUNT(F110:X110)</f>
        <v>8</v>
      </c>
      <c r="AA110" s="166">
        <f>Y110/Z110</f>
        <v>0</v>
      </c>
      <c r="AB110" s="135">
        <f>D110*Z110</f>
        <v>0</v>
      </c>
      <c r="AC110" s="160">
        <f>Y110+AB110</f>
        <v>0</v>
      </c>
      <c r="AD110" s="167">
        <f>AD111</f>
        <v>0</v>
      </c>
    </row>
    <row r="111" spans="1:30" ht="15.75">
      <c r="A111" s="133"/>
      <c r="B111" s="134"/>
      <c r="C111" s="135"/>
      <c r="D111" s="135"/>
      <c r="E111" s="135"/>
      <c r="F111" s="136">
        <f>VLOOKUP($B111,Quali!$B:$N,6,0)</f>
        <v>0</v>
      </c>
      <c r="G111" s="136">
        <f>VLOOKUP($B111,Quali!$B:$N,7,0)</f>
        <v>0</v>
      </c>
      <c r="H111" s="136">
        <f>VLOOKUP($B111,Quali!$B:$N,8,0)</f>
        <v>0</v>
      </c>
      <c r="I111" s="136">
        <f>VLOOKUP($B111,Quali!$B:$N,9,0)</f>
        <v>0</v>
      </c>
      <c r="J111" s="136">
        <f>VLOOKUP($B111,Quali!$B:$N,10,0)</f>
        <v>0</v>
      </c>
      <c r="K111" s="136">
        <f>VLOOKUP($B111,Quali!$B:$N,11,0)</f>
        <v>0</v>
      </c>
      <c r="L111" s="136">
        <f>VLOOKUP($B111,Quali!$B:$N,12,0)</f>
        <v>0</v>
      </c>
      <c r="M111" s="142">
        <f>VLOOKUP($B111,Quali!$B:$N,13,0)</f>
        <v>0</v>
      </c>
      <c r="N111" s="140"/>
      <c r="O111" s="136"/>
      <c r="P111" s="136"/>
      <c r="Q111" s="136"/>
      <c r="R111" s="136"/>
      <c r="S111" s="136"/>
      <c r="T111" s="136"/>
      <c r="U111" s="136"/>
      <c r="V111" s="136"/>
      <c r="W111" s="136"/>
      <c r="X111" s="136"/>
      <c r="Y111" s="135">
        <f>SUM(F111:X111)</f>
        <v>0</v>
      </c>
      <c r="Z111" s="135">
        <f>COUNT(F111:X111)</f>
        <v>8</v>
      </c>
      <c r="AA111" s="137">
        <f>Y111/Z111</f>
        <v>0</v>
      </c>
      <c r="AB111" s="135">
        <f>D111*Z111</f>
        <v>0</v>
      </c>
      <c r="AC111" s="135">
        <f>Y111+AB111</f>
        <v>0</v>
      </c>
      <c r="AD111" s="147">
        <f>SUM(AC110:AC111)</f>
        <v>0</v>
      </c>
    </row>
    <row r="112" spans="1:30" ht="15.75">
      <c r="A112" s="158"/>
      <c r="B112" s="159"/>
      <c r="C112" s="160"/>
      <c r="D112" s="160"/>
      <c r="E112" s="160"/>
      <c r="F112" s="136">
        <f>VLOOKUP($B112,Quali!$B:$N,6,0)</f>
        <v>0</v>
      </c>
      <c r="G112" s="136">
        <f>VLOOKUP($B112,Quali!$B:$N,7,0)</f>
        <v>0</v>
      </c>
      <c r="H112" s="136">
        <f>VLOOKUP($B112,Quali!$B:$N,8,0)</f>
        <v>0</v>
      </c>
      <c r="I112" s="136">
        <f>VLOOKUP($B112,Quali!$B:$N,9,0)</f>
        <v>0</v>
      </c>
      <c r="J112" s="136">
        <f>VLOOKUP($B112,Quali!$B:$N,10,0)</f>
        <v>0</v>
      </c>
      <c r="K112" s="136">
        <f>VLOOKUP($B112,Quali!$B:$N,11,0)</f>
        <v>0</v>
      </c>
      <c r="L112" s="136">
        <f>VLOOKUP($B112,Quali!$B:$N,12,0)</f>
        <v>0</v>
      </c>
      <c r="M112" s="142">
        <f>VLOOKUP($B112,Quali!$B:$N,13,0)</f>
        <v>0</v>
      </c>
      <c r="N112" s="163"/>
      <c r="O112" s="161"/>
      <c r="P112" s="161"/>
      <c r="Q112" s="161"/>
      <c r="R112" s="161"/>
      <c r="S112" s="161"/>
      <c r="T112" s="161"/>
      <c r="U112" s="161"/>
      <c r="V112" s="161"/>
      <c r="W112" s="161"/>
      <c r="X112" s="161"/>
      <c r="Y112" s="161">
        <f>SUM(F112:X112)</f>
        <v>0</v>
      </c>
      <c r="Z112" s="161">
        <f>COUNT(F112:X112)</f>
        <v>8</v>
      </c>
      <c r="AA112" s="166">
        <f>Y112/Z112</f>
        <v>0</v>
      </c>
      <c r="AB112" s="135">
        <f>D112*Z112</f>
        <v>0</v>
      </c>
      <c r="AC112" s="160">
        <f>Y112+AB112</f>
        <v>0</v>
      </c>
      <c r="AD112" s="167">
        <f>AD113</f>
        <v>0</v>
      </c>
    </row>
    <row r="113" spans="1:30" ht="16.5" thickBot="1">
      <c r="A113" s="149"/>
      <c r="B113" s="150"/>
      <c r="C113" s="151"/>
      <c r="D113" s="151"/>
      <c r="E113" s="151"/>
      <c r="F113" s="152">
        <f>VLOOKUP($B113,Quali!$B:$N,6,0)</f>
        <v>0</v>
      </c>
      <c r="G113" s="152">
        <f>VLOOKUP($B113,Quali!$B:$N,7,0)</f>
        <v>0</v>
      </c>
      <c r="H113" s="152">
        <f>VLOOKUP($B113,Quali!$B:$N,8,0)</f>
        <v>0</v>
      </c>
      <c r="I113" s="152">
        <f>VLOOKUP($B113,Quali!$B:$N,9,0)</f>
        <v>0</v>
      </c>
      <c r="J113" s="152">
        <f>VLOOKUP($B113,Quali!$B:$N,10,0)</f>
        <v>0</v>
      </c>
      <c r="K113" s="152">
        <f>VLOOKUP($B113,Quali!$B:$N,11,0)</f>
        <v>0</v>
      </c>
      <c r="L113" s="152">
        <f>VLOOKUP($B113,Quali!$B:$N,12,0)</f>
        <v>0</v>
      </c>
      <c r="M113" s="153">
        <f>VLOOKUP($B113,Quali!$B:$N,13,0)</f>
        <v>0</v>
      </c>
      <c r="N113" s="154"/>
      <c r="O113" s="152"/>
      <c r="P113" s="152"/>
      <c r="Q113" s="152"/>
      <c r="R113" s="152"/>
      <c r="S113" s="152"/>
      <c r="T113" s="152"/>
      <c r="U113" s="152"/>
      <c r="V113" s="152"/>
      <c r="W113" s="152"/>
      <c r="X113" s="152"/>
      <c r="Y113" s="151">
        <f>SUM(F113:X113)</f>
        <v>0</v>
      </c>
      <c r="Z113" s="151">
        <f>COUNT(F113:X113)</f>
        <v>8</v>
      </c>
      <c r="AA113" s="155">
        <f>Y113/Z113</f>
        <v>0</v>
      </c>
      <c r="AB113" s="151">
        <f>D113*Z113</f>
        <v>0</v>
      </c>
      <c r="AC113" s="151">
        <f>Y113+AB113</f>
        <v>0</v>
      </c>
      <c r="AD113" s="156">
        <f>SUM(AC112:AC113)</f>
        <v>0</v>
      </c>
    </row>
  </sheetData>
  <conditionalFormatting sqref="Y92:Z92 Y94:Z94 Y96:Z96 Y98:Z98 Y100:Z100 Y102:Z102 Y104:Z104 Y106:Z106 Y36:Z36 Y38:Z38 Y40:Z40 Y42:Z42 Y44:Z44 Y46:Z46 Y48:Z48 Y50:Z50 Y52:Z52 Y54:Z54 Y56:Z56 Y58:Z58 Y60:Z60 Y62:Z62 Y64:Z64 Y66:Z66 Y68:Z68 Y70:Z70 Y72:Z72 Y74:Z74 Y76:Z76 Y78:Z78 Y80:Z80 Y82:Z82 Y84:Z84 Y86:Z86 Y88:Z88 Y90:Z90 Y108:Z108 Y110:Z110 Y112:Z112">
    <cfRule type="cellIs" priority="1" dxfId="0" operator="greaterThanOrEqual" stopIfTrue="1">
      <formula>1200</formula>
    </cfRule>
  </conditionalFormatting>
  <conditionalFormatting sqref="Y20:Z35">
    <cfRule type="cellIs" priority="2" dxfId="0" operator="greaterThanOrEqual" stopIfTrue="1">
      <formula>2000</formula>
    </cfRule>
  </conditionalFormatting>
  <conditionalFormatting sqref="Y8:Z19">
    <cfRule type="cellIs" priority="3" dxfId="0" operator="greaterThanOrEqual" stopIfTrue="1">
      <formula>2600</formula>
    </cfRule>
  </conditionalFormatting>
  <conditionalFormatting sqref="Y4:Z7">
    <cfRule type="cellIs" priority="4" dxfId="0" operator="greaterThanOrEqual" stopIfTrue="1">
      <formula>2800</formula>
    </cfRule>
  </conditionalFormatting>
  <conditionalFormatting sqref="F4:X113">
    <cfRule type="cellIs" priority="5" dxfId="1" operator="greaterThanOrEqual" stopIfTrue="1">
      <formula>200</formula>
    </cfRule>
  </conditionalFormatting>
  <printOptions/>
  <pageMargins left="0.4330708661417323" right="0.4724409448818898" top="0.5118110236220472" bottom="0.48" header="0.5118110236220472" footer="0.31"/>
  <pageSetup fitToHeight="0" fitToWidth="1" horizontalDpi="300" verticalDpi="300" orientation="landscape" paperSize="9" scale="53" r:id="rId1"/>
  <headerFooter alignWithMargins="0">
    <oddFooter>&amp;CSeite &amp;P</oddFooter>
  </headerFooter>
</worksheet>
</file>

<file path=xl/worksheets/sheet7.xml><?xml version="1.0" encoding="utf-8"?>
<worksheet xmlns="http://schemas.openxmlformats.org/spreadsheetml/2006/main" xmlns:r="http://schemas.openxmlformats.org/officeDocument/2006/relationships">
  <dimension ref="A1:N32"/>
  <sheetViews>
    <sheetView showGridLines="0" workbookViewId="0" topLeftCell="A1">
      <selection activeCell="A1" sqref="A1"/>
    </sheetView>
  </sheetViews>
  <sheetFormatPr defaultColWidth="11.421875" defaultRowHeight="12.75"/>
  <cols>
    <col min="2" max="2" width="7.140625" style="0" customWidth="1"/>
    <col min="3" max="4" width="4.8515625" style="0" customWidth="1"/>
    <col min="5" max="13" width="9.140625" style="0" customWidth="1"/>
  </cols>
  <sheetData>
    <row r="1" spans="1:2" ht="23.25">
      <c r="A1" s="35" t="s">
        <v>26</v>
      </c>
      <c r="B1" s="7"/>
    </row>
    <row r="2" spans="1:13" ht="18">
      <c r="A2" s="36" t="s">
        <v>27</v>
      </c>
      <c r="B2" s="36" t="s">
        <v>28</v>
      </c>
      <c r="C2" s="37"/>
      <c r="D2" s="38"/>
      <c r="E2" s="38"/>
      <c r="F2" s="38"/>
      <c r="G2" s="38"/>
      <c r="H2" s="38"/>
      <c r="I2" s="38"/>
      <c r="J2" s="38"/>
      <c r="K2" s="38"/>
      <c r="L2" s="38"/>
      <c r="M2" s="38"/>
    </row>
    <row r="3" spans="1:13" ht="18">
      <c r="A3" s="39">
        <v>1</v>
      </c>
      <c r="B3" s="40">
        <v>1</v>
      </c>
      <c r="C3" s="40"/>
      <c r="D3" s="41"/>
      <c r="E3" s="42" t="s">
        <v>29</v>
      </c>
      <c r="F3" s="43" t="s">
        <v>30</v>
      </c>
      <c r="G3" s="43" t="s">
        <v>31</v>
      </c>
      <c r="H3" s="43" t="s">
        <v>32</v>
      </c>
      <c r="I3" s="43" t="s">
        <v>33</v>
      </c>
      <c r="J3" s="43" t="s">
        <v>34</v>
      </c>
      <c r="K3" s="43" t="s">
        <v>35</v>
      </c>
      <c r="L3" s="43" t="s">
        <v>36</v>
      </c>
      <c r="M3" s="43" t="s">
        <v>37</v>
      </c>
    </row>
    <row r="4" spans="1:13" ht="18">
      <c r="A4" s="44">
        <v>2</v>
      </c>
      <c r="B4" s="37">
        <v>2</v>
      </c>
      <c r="C4" s="37"/>
      <c r="D4" s="45"/>
      <c r="E4" s="46">
        <v>1</v>
      </c>
      <c r="F4" s="47">
        <f>+B3</f>
        <v>1</v>
      </c>
      <c r="G4" s="47">
        <f>+B4</f>
        <v>2</v>
      </c>
      <c r="H4" s="47">
        <f>+B5</f>
        <v>3</v>
      </c>
      <c r="I4" s="47">
        <f>+B6</f>
        <v>4</v>
      </c>
      <c r="J4" s="47">
        <f>+B7</f>
        <v>5</v>
      </c>
      <c r="K4" s="47">
        <f>+B8</f>
        <v>6</v>
      </c>
      <c r="L4" s="47">
        <f>+B9</f>
        <v>7</v>
      </c>
      <c r="M4" s="47">
        <f>+B10</f>
        <v>8</v>
      </c>
    </row>
    <row r="5" spans="1:13" ht="18">
      <c r="A5" s="44">
        <v>3</v>
      </c>
      <c r="B5" s="40">
        <v>3</v>
      </c>
      <c r="C5" s="37"/>
      <c r="D5" s="45"/>
      <c r="E5" s="46">
        <v>2</v>
      </c>
      <c r="F5" s="47">
        <f>+B8</f>
        <v>6</v>
      </c>
      <c r="G5" s="47">
        <f>+B10</f>
        <v>8</v>
      </c>
      <c r="H5" s="47">
        <f>+B7</f>
        <v>5</v>
      </c>
      <c r="I5" s="47">
        <f>+B9</f>
        <v>7</v>
      </c>
      <c r="J5" s="47">
        <f>+B4</f>
        <v>2</v>
      </c>
      <c r="K5" s="47">
        <f>+B6</f>
        <v>4</v>
      </c>
      <c r="L5" s="47">
        <f>++B3</f>
        <v>1</v>
      </c>
      <c r="M5" s="47">
        <f>+B5</f>
        <v>3</v>
      </c>
    </row>
    <row r="6" spans="1:13" ht="18">
      <c r="A6" s="44">
        <v>4</v>
      </c>
      <c r="B6" s="37">
        <v>4</v>
      </c>
      <c r="C6" s="37"/>
      <c r="D6" s="45"/>
      <c r="E6" s="46">
        <v>3</v>
      </c>
      <c r="F6" s="47">
        <f>+B7</f>
        <v>5</v>
      </c>
      <c r="G6" s="47">
        <f>+B6</f>
        <v>4</v>
      </c>
      <c r="H6" s="47">
        <f>+B3</f>
        <v>1</v>
      </c>
      <c r="I6" s="47">
        <f>+B10</f>
        <v>8</v>
      </c>
      <c r="J6" s="47">
        <f>+B9</f>
        <v>7</v>
      </c>
      <c r="K6" s="47">
        <f>+B5</f>
        <v>3</v>
      </c>
      <c r="L6" s="47">
        <f>+B4</f>
        <v>2</v>
      </c>
      <c r="M6" s="47">
        <f>+B8</f>
        <v>6</v>
      </c>
    </row>
    <row r="7" spans="1:13" ht="18">
      <c r="A7" s="44">
        <v>5</v>
      </c>
      <c r="B7" s="40">
        <v>5</v>
      </c>
      <c r="C7" s="37"/>
      <c r="D7" s="45"/>
      <c r="E7" s="46">
        <v>4</v>
      </c>
      <c r="F7" s="47">
        <f>+B5</f>
        <v>3</v>
      </c>
      <c r="G7" s="47">
        <f>+B8</f>
        <v>6</v>
      </c>
      <c r="H7" s="47">
        <f>+B9</f>
        <v>7</v>
      </c>
      <c r="I7" s="47">
        <f>+B4</f>
        <v>2</v>
      </c>
      <c r="J7" s="47">
        <f>+B3</f>
        <v>1</v>
      </c>
      <c r="K7" s="47">
        <f>+B7</f>
        <v>5</v>
      </c>
      <c r="L7" s="47">
        <f>+B10</f>
        <v>8</v>
      </c>
      <c r="M7" s="47">
        <f>+B6</f>
        <v>4</v>
      </c>
    </row>
    <row r="8" spans="1:13" ht="18">
      <c r="A8" s="44">
        <v>6</v>
      </c>
      <c r="B8" s="37">
        <v>6</v>
      </c>
      <c r="C8" s="37"/>
      <c r="D8" s="45"/>
      <c r="E8" s="46">
        <v>5</v>
      </c>
      <c r="F8" s="47">
        <f>+B9</f>
        <v>7</v>
      </c>
      <c r="G8" s="47">
        <f>+B3</f>
        <v>1</v>
      </c>
      <c r="H8" s="47">
        <f>+B6</f>
        <v>4</v>
      </c>
      <c r="I8" s="47">
        <f>+B8</f>
        <v>6</v>
      </c>
      <c r="J8" s="47">
        <f>+B5</f>
        <v>3</v>
      </c>
      <c r="K8" s="47">
        <f>+B10</f>
        <v>8</v>
      </c>
      <c r="L8" s="47">
        <f>+B7</f>
        <v>5</v>
      </c>
      <c r="M8" s="47">
        <f>+B4</f>
        <v>2</v>
      </c>
    </row>
    <row r="9" spans="1:13" ht="18">
      <c r="A9" s="44">
        <v>7</v>
      </c>
      <c r="B9" s="40">
        <v>7</v>
      </c>
      <c r="C9" s="37"/>
      <c r="D9" s="45"/>
      <c r="E9" s="46">
        <v>6</v>
      </c>
      <c r="F9" s="47">
        <f>+B4</f>
        <v>2</v>
      </c>
      <c r="G9" s="47">
        <f>+B5</f>
        <v>3</v>
      </c>
      <c r="H9" s="47">
        <f>+B10</f>
        <v>8</v>
      </c>
      <c r="I9" s="47">
        <f>+B7</f>
        <v>5</v>
      </c>
      <c r="J9" s="47">
        <f>+B6</f>
        <v>4</v>
      </c>
      <c r="K9" s="47">
        <f>+B3</f>
        <v>1</v>
      </c>
      <c r="L9" s="47">
        <f>+B8</f>
        <v>6</v>
      </c>
      <c r="M9" s="47">
        <f>+B9</f>
        <v>7</v>
      </c>
    </row>
    <row r="10" spans="1:13" ht="18">
      <c r="A10" s="44">
        <v>8</v>
      </c>
      <c r="B10" s="37">
        <v>8</v>
      </c>
      <c r="C10" s="37"/>
      <c r="D10" s="45"/>
      <c r="E10" s="46">
        <v>7</v>
      </c>
      <c r="F10" s="47">
        <f>+B6</f>
        <v>4</v>
      </c>
      <c r="G10" s="47">
        <f>+B9</f>
        <v>7</v>
      </c>
      <c r="H10" s="47">
        <f>+B8</f>
        <v>6</v>
      </c>
      <c r="I10" s="47">
        <f>+B3</f>
        <v>1</v>
      </c>
      <c r="J10" s="47">
        <f>+B10</f>
        <v>8</v>
      </c>
      <c r="K10" s="47">
        <f>+B4</f>
        <v>2</v>
      </c>
      <c r="L10" s="47">
        <f>+B5</f>
        <v>3</v>
      </c>
      <c r="M10" s="47">
        <f>+B7</f>
        <v>5</v>
      </c>
    </row>
    <row r="11" spans="1:13" ht="12.75">
      <c r="A11" s="45"/>
      <c r="B11" s="45"/>
      <c r="C11" s="45"/>
      <c r="D11" s="48"/>
      <c r="E11" s="48"/>
      <c r="F11" s="49"/>
      <c r="G11" s="49"/>
      <c r="H11" s="49"/>
      <c r="I11" s="49"/>
      <c r="J11" s="49"/>
      <c r="K11" s="49"/>
      <c r="L11" s="49"/>
      <c r="M11" s="49"/>
    </row>
    <row r="12" spans="1:13" ht="12.75">
      <c r="A12" s="50"/>
      <c r="D12" s="48"/>
      <c r="E12" s="48"/>
      <c r="F12" s="49"/>
      <c r="G12" s="49"/>
      <c r="H12" s="49"/>
      <c r="I12" s="49"/>
      <c r="J12" s="49"/>
      <c r="K12" s="49"/>
      <c r="L12" s="49"/>
      <c r="M12" s="49"/>
    </row>
    <row r="13" spans="5:13" ht="12.75">
      <c r="E13" s="51"/>
      <c r="F13" s="50">
        <f>+B3</f>
        <v>1</v>
      </c>
      <c r="G13" s="50">
        <f>+B4</f>
        <v>2</v>
      </c>
      <c r="H13" s="50">
        <f>+B5</f>
        <v>3</v>
      </c>
      <c r="I13" s="50">
        <f>+B6</f>
        <v>4</v>
      </c>
      <c r="J13" s="50">
        <f>+B7</f>
        <v>5</v>
      </c>
      <c r="K13" s="50">
        <f>+B8</f>
        <v>6</v>
      </c>
      <c r="L13" s="50">
        <f>+B9</f>
        <v>7</v>
      </c>
      <c r="M13" s="50">
        <f>+B10</f>
        <v>8</v>
      </c>
    </row>
    <row r="14" spans="5:13" ht="12.75">
      <c r="E14" s="38"/>
      <c r="F14" s="50"/>
      <c r="G14" s="50"/>
      <c r="H14" s="50"/>
      <c r="I14" s="50"/>
      <c r="J14" s="50"/>
      <c r="K14" s="50"/>
      <c r="L14" s="50"/>
      <c r="M14" s="50"/>
    </row>
    <row r="15" spans="5:13" ht="12.75">
      <c r="E15" s="52"/>
      <c r="F15" s="42">
        <f>+B4</f>
        <v>2</v>
      </c>
      <c r="G15" s="42">
        <f>+B3</f>
        <v>1</v>
      </c>
      <c r="H15" s="42">
        <f>+B6</f>
        <v>4</v>
      </c>
      <c r="I15" s="42">
        <f>+B5</f>
        <v>3</v>
      </c>
      <c r="J15" s="42">
        <f>+B8</f>
        <v>6</v>
      </c>
      <c r="K15" s="42">
        <f>+B7</f>
        <v>5</v>
      </c>
      <c r="L15" s="42">
        <f>+B10</f>
        <v>8</v>
      </c>
      <c r="M15" s="42">
        <f>+B9</f>
        <v>7</v>
      </c>
    </row>
    <row r="16" spans="5:13" ht="12.75">
      <c r="E16" s="52"/>
      <c r="F16" s="42">
        <f>+B5</f>
        <v>3</v>
      </c>
      <c r="G16" s="42">
        <f>+B6</f>
        <v>4</v>
      </c>
      <c r="H16" s="42">
        <f>+B3</f>
        <v>1</v>
      </c>
      <c r="I16" s="42">
        <f>+B4</f>
        <v>2</v>
      </c>
      <c r="J16" s="42">
        <f>+B9</f>
        <v>7</v>
      </c>
      <c r="K16" s="42">
        <f>+B10</f>
        <v>8</v>
      </c>
      <c r="L16" s="42">
        <f>+B7</f>
        <v>5</v>
      </c>
      <c r="M16" s="42">
        <f>+B8</f>
        <v>6</v>
      </c>
    </row>
    <row r="17" spans="5:13" ht="12.75">
      <c r="E17" s="52"/>
      <c r="F17" s="42">
        <f>+B10</f>
        <v>8</v>
      </c>
      <c r="G17" s="42">
        <f>+B8</f>
        <v>6</v>
      </c>
      <c r="H17" s="42">
        <f>+B9</f>
        <v>7</v>
      </c>
      <c r="I17" s="42">
        <f>+B7</f>
        <v>5</v>
      </c>
      <c r="J17" s="42">
        <f>+B6</f>
        <v>4</v>
      </c>
      <c r="K17" s="42">
        <f>+B4</f>
        <v>2</v>
      </c>
      <c r="L17" s="42">
        <f>+B5</f>
        <v>3</v>
      </c>
      <c r="M17" s="42">
        <f>+B3</f>
        <v>1</v>
      </c>
    </row>
    <row r="18" spans="5:13" ht="12.75">
      <c r="E18" s="52"/>
      <c r="F18" s="42">
        <f>+B7</f>
        <v>5</v>
      </c>
      <c r="G18" s="42">
        <f>+B9</f>
        <v>7</v>
      </c>
      <c r="H18" s="42">
        <f>+B8</f>
        <v>6</v>
      </c>
      <c r="I18" s="42">
        <f>+B10</f>
        <v>8</v>
      </c>
      <c r="J18" s="42">
        <f>+B3</f>
        <v>1</v>
      </c>
      <c r="K18" s="42">
        <f>+B5</f>
        <v>3</v>
      </c>
      <c r="L18" s="42">
        <f>+B4</f>
        <v>2</v>
      </c>
      <c r="M18" s="42">
        <f>+B6</f>
        <v>4</v>
      </c>
    </row>
    <row r="19" spans="5:13" ht="12.75">
      <c r="E19" s="52"/>
      <c r="F19" s="42">
        <f>+B9</f>
        <v>7</v>
      </c>
      <c r="G19" s="42">
        <f>+B7</f>
        <v>5</v>
      </c>
      <c r="H19" s="42">
        <f>+B10</f>
        <v>8</v>
      </c>
      <c r="I19" s="42">
        <f>+B8</f>
        <v>6</v>
      </c>
      <c r="J19" s="42">
        <f>+B4</f>
        <v>2</v>
      </c>
      <c r="K19" s="42">
        <f>+B6</f>
        <v>4</v>
      </c>
      <c r="L19" s="42">
        <f>+B3</f>
        <v>1</v>
      </c>
      <c r="M19" s="42">
        <f>+B5</f>
        <v>3</v>
      </c>
    </row>
    <row r="20" spans="5:13" ht="12.75">
      <c r="E20" s="52"/>
      <c r="F20" s="42">
        <f>+B6</f>
        <v>4</v>
      </c>
      <c r="G20" s="42">
        <f>+B5</f>
        <v>3</v>
      </c>
      <c r="H20" s="42">
        <f>+B4</f>
        <v>2</v>
      </c>
      <c r="I20" s="42">
        <f>+B3</f>
        <v>1</v>
      </c>
      <c r="J20" s="42">
        <f>+B10</f>
        <v>8</v>
      </c>
      <c r="K20" s="42">
        <f>+B9</f>
        <v>7</v>
      </c>
      <c r="L20" s="42">
        <f>+B8</f>
        <v>6</v>
      </c>
      <c r="M20" s="42">
        <f>+B7</f>
        <v>5</v>
      </c>
    </row>
    <row r="21" spans="5:13" ht="12.75">
      <c r="E21" s="52"/>
      <c r="F21" s="42">
        <f>+B8</f>
        <v>6</v>
      </c>
      <c r="G21" s="42">
        <f>+B10</f>
        <v>8</v>
      </c>
      <c r="H21" s="42">
        <f>+B7</f>
        <v>5</v>
      </c>
      <c r="I21" s="42">
        <f>+B9</f>
        <v>7</v>
      </c>
      <c r="J21" s="42">
        <f>+B5</f>
        <v>3</v>
      </c>
      <c r="K21" s="42">
        <f>+B3</f>
        <v>1</v>
      </c>
      <c r="L21" s="42">
        <f>+B6</f>
        <v>4</v>
      </c>
      <c r="M21" s="42">
        <f>+B4</f>
        <v>2</v>
      </c>
    </row>
    <row r="23" spans="6:13" ht="12.75">
      <c r="F23">
        <v>1</v>
      </c>
      <c r="G23">
        <v>2</v>
      </c>
      <c r="H23">
        <v>3</v>
      </c>
      <c r="I23">
        <v>4</v>
      </c>
      <c r="J23">
        <v>5</v>
      </c>
      <c r="K23">
        <v>6</v>
      </c>
      <c r="L23">
        <v>7</v>
      </c>
      <c r="M23">
        <v>8</v>
      </c>
    </row>
    <row r="25" spans="6:14" ht="12.75">
      <c r="F25" s="7">
        <v>1</v>
      </c>
      <c r="G25" s="7">
        <v>6</v>
      </c>
      <c r="H25" s="7">
        <v>5</v>
      </c>
      <c r="I25" s="7">
        <v>3</v>
      </c>
      <c r="J25" s="7">
        <v>7</v>
      </c>
      <c r="K25" s="7">
        <v>2</v>
      </c>
      <c r="L25" s="7">
        <v>4</v>
      </c>
      <c r="N25">
        <v>1</v>
      </c>
    </row>
    <row r="26" spans="6:14" ht="12.75">
      <c r="F26" s="7">
        <v>2</v>
      </c>
      <c r="G26" s="7">
        <v>8</v>
      </c>
      <c r="H26" s="7">
        <v>4</v>
      </c>
      <c r="I26" s="7">
        <v>6</v>
      </c>
      <c r="J26" s="7">
        <v>1</v>
      </c>
      <c r="K26" s="7">
        <v>3</v>
      </c>
      <c r="L26" s="7">
        <v>7</v>
      </c>
      <c r="N26">
        <v>2</v>
      </c>
    </row>
    <row r="27" spans="6:14" ht="12.75">
      <c r="F27" s="7">
        <v>3</v>
      </c>
      <c r="G27" s="7">
        <v>5</v>
      </c>
      <c r="H27" s="7">
        <v>1</v>
      </c>
      <c r="I27" s="7">
        <v>7</v>
      </c>
      <c r="J27" s="7">
        <v>4</v>
      </c>
      <c r="K27" s="7">
        <v>8</v>
      </c>
      <c r="L27" s="7">
        <v>6</v>
      </c>
      <c r="N27">
        <v>3</v>
      </c>
    </row>
    <row r="28" spans="6:14" ht="12.75">
      <c r="F28" s="7">
        <v>4</v>
      </c>
      <c r="G28" s="7">
        <v>7</v>
      </c>
      <c r="H28" s="7">
        <v>8</v>
      </c>
      <c r="I28" s="7">
        <v>2</v>
      </c>
      <c r="J28" s="7">
        <v>6</v>
      </c>
      <c r="K28" s="7">
        <v>5</v>
      </c>
      <c r="L28" s="7">
        <v>1</v>
      </c>
      <c r="N28">
        <v>4</v>
      </c>
    </row>
    <row r="29" spans="6:14" ht="12.75">
      <c r="F29" s="7">
        <v>5</v>
      </c>
      <c r="G29" s="7">
        <v>2</v>
      </c>
      <c r="H29" s="7">
        <v>7</v>
      </c>
      <c r="I29" s="7">
        <v>1</v>
      </c>
      <c r="J29" s="7">
        <v>3</v>
      </c>
      <c r="K29" s="7">
        <v>4</v>
      </c>
      <c r="L29" s="7">
        <v>8</v>
      </c>
      <c r="N29">
        <v>5</v>
      </c>
    </row>
    <row r="30" spans="6:14" ht="12.75">
      <c r="F30" s="7">
        <v>6</v>
      </c>
      <c r="G30" s="7">
        <v>4</v>
      </c>
      <c r="H30" s="7">
        <v>3</v>
      </c>
      <c r="I30" s="7">
        <v>5</v>
      </c>
      <c r="J30" s="7">
        <v>8</v>
      </c>
      <c r="K30" s="7">
        <v>1</v>
      </c>
      <c r="L30" s="7">
        <v>2</v>
      </c>
      <c r="N30">
        <v>6</v>
      </c>
    </row>
    <row r="31" spans="6:14" ht="12.75">
      <c r="F31" s="7">
        <v>7</v>
      </c>
      <c r="G31" s="7">
        <v>1</v>
      </c>
      <c r="H31" s="7">
        <v>2</v>
      </c>
      <c r="I31" s="7">
        <v>8</v>
      </c>
      <c r="J31" s="7">
        <v>5</v>
      </c>
      <c r="K31" s="7">
        <v>6</v>
      </c>
      <c r="L31" s="7">
        <v>3</v>
      </c>
      <c r="N31">
        <v>7</v>
      </c>
    </row>
    <row r="32" spans="6:14" ht="12.75">
      <c r="F32" s="7">
        <v>8</v>
      </c>
      <c r="G32" s="7">
        <v>3</v>
      </c>
      <c r="H32" s="7">
        <v>6</v>
      </c>
      <c r="I32" s="7">
        <v>4</v>
      </c>
      <c r="J32" s="7">
        <v>2</v>
      </c>
      <c r="K32" s="7">
        <v>7</v>
      </c>
      <c r="L32" s="7">
        <v>5</v>
      </c>
      <c r="N32">
        <v>8</v>
      </c>
    </row>
  </sheetData>
  <printOptions/>
  <pageMargins left="0.75" right="0.75" top="1" bottom="0.39" header="0.4921259845" footer="0.4921259845"/>
  <pageSetup orientation="landscape" paperSize="9" r:id="rId1"/>
</worksheet>
</file>

<file path=xl/worksheets/sheet8.xml><?xml version="1.0" encoding="utf-8"?>
<worksheet xmlns="http://schemas.openxmlformats.org/spreadsheetml/2006/main" xmlns:r="http://schemas.openxmlformats.org/officeDocument/2006/relationships">
  <dimension ref="B3:N244"/>
  <sheetViews>
    <sheetView showGridLines="0" zoomScale="75" zoomScaleNormal="75" workbookViewId="0" topLeftCell="A46">
      <selection activeCell="A1" sqref="A1"/>
    </sheetView>
  </sheetViews>
  <sheetFormatPr defaultColWidth="11.421875" defaultRowHeight="12.75"/>
  <cols>
    <col min="1" max="1" width="5.28125" style="0" customWidth="1"/>
    <col min="2" max="2" width="8.00390625" style="0" customWidth="1"/>
    <col min="3" max="3" width="8.140625" style="0" customWidth="1"/>
    <col min="4" max="4" width="9.00390625" style="0" customWidth="1"/>
    <col min="5" max="5" width="27.28125" style="0" customWidth="1"/>
    <col min="12" max="12" width="12.00390625" style="0" customWidth="1"/>
  </cols>
  <sheetData>
    <row r="3" spans="2:14" ht="15.75" thickBot="1">
      <c r="B3" s="53"/>
      <c r="C3" s="54"/>
      <c r="D3" s="53" t="s">
        <v>38</v>
      </c>
      <c r="E3" s="55" t="s">
        <v>1</v>
      </c>
      <c r="F3" s="56" t="s">
        <v>39</v>
      </c>
      <c r="G3" s="57" t="s">
        <v>40</v>
      </c>
      <c r="H3" s="54"/>
      <c r="I3" s="54"/>
      <c r="J3" s="54"/>
      <c r="K3" s="53"/>
      <c r="L3" s="54"/>
      <c r="M3" s="54"/>
      <c r="N3" s="54"/>
    </row>
    <row r="4" spans="2:14" ht="17.25" customHeight="1">
      <c r="B4" s="53"/>
      <c r="C4" s="58"/>
      <c r="D4" s="333">
        <v>1</v>
      </c>
      <c r="E4" s="59" t="s">
        <v>178</v>
      </c>
      <c r="F4" s="60">
        <v>11</v>
      </c>
      <c r="G4" s="61">
        <v>0</v>
      </c>
      <c r="H4" s="62" t="str">
        <f>+E5</f>
        <v>Haasper Kevin</v>
      </c>
      <c r="I4" s="58"/>
      <c r="J4" s="58"/>
      <c r="K4" s="53"/>
      <c r="L4" s="58"/>
      <c r="M4" s="58"/>
      <c r="N4" s="58"/>
    </row>
    <row r="5" spans="2:14" ht="17.25" customHeight="1" thickBot="1">
      <c r="B5" s="53"/>
      <c r="C5" s="58"/>
      <c r="D5" s="334"/>
      <c r="E5" s="63" t="s">
        <v>175</v>
      </c>
      <c r="F5" s="64">
        <v>10</v>
      </c>
      <c r="G5" s="65">
        <v>0</v>
      </c>
      <c r="H5" s="66"/>
      <c r="I5" s="58"/>
      <c r="J5" s="58"/>
      <c r="K5" s="53"/>
      <c r="L5" s="58"/>
      <c r="M5" s="58"/>
      <c r="N5" s="58"/>
    </row>
    <row r="6" spans="2:14" ht="17.25" customHeight="1">
      <c r="B6" s="53"/>
      <c r="C6" s="58"/>
      <c r="D6" s="333">
        <v>2</v>
      </c>
      <c r="E6" s="59" t="s">
        <v>150</v>
      </c>
      <c r="F6" s="60">
        <v>2</v>
      </c>
      <c r="G6" s="61">
        <v>0</v>
      </c>
      <c r="H6" s="66" t="str">
        <f>+E7</f>
        <v>Suter Martin</v>
      </c>
      <c r="I6" s="58"/>
      <c r="J6" s="58"/>
      <c r="K6" s="53"/>
      <c r="L6" s="58"/>
      <c r="M6" s="58"/>
      <c r="N6" s="58"/>
    </row>
    <row r="7" spans="2:14" ht="17.25" customHeight="1" thickBot="1">
      <c r="B7" s="53"/>
      <c r="C7" s="58"/>
      <c r="D7" s="334"/>
      <c r="E7" s="63" t="s">
        <v>151</v>
      </c>
      <c r="F7" s="64">
        <v>1</v>
      </c>
      <c r="G7" s="65">
        <v>0</v>
      </c>
      <c r="H7" s="66"/>
      <c r="I7" s="58"/>
      <c r="J7" s="58"/>
      <c r="K7" s="53"/>
      <c r="L7" s="58"/>
      <c r="M7" s="58"/>
      <c r="N7" s="58"/>
    </row>
    <row r="8" spans="2:14" ht="17.25" customHeight="1">
      <c r="B8" s="53"/>
      <c r="C8" s="58"/>
      <c r="D8" s="333">
        <v>3</v>
      </c>
      <c r="E8" s="59" t="s">
        <v>123</v>
      </c>
      <c r="F8" s="60">
        <v>0</v>
      </c>
      <c r="G8" s="61">
        <v>0</v>
      </c>
      <c r="H8" s="66" t="str">
        <f>+E9</f>
        <v>Thurston Roger</v>
      </c>
      <c r="I8" s="58"/>
      <c r="J8" s="58"/>
      <c r="K8" s="53"/>
      <c r="L8" s="58"/>
      <c r="M8" s="58"/>
      <c r="N8" s="58"/>
    </row>
    <row r="9" spans="2:14" ht="17.25" customHeight="1" thickBot="1">
      <c r="B9" s="53"/>
      <c r="C9" s="58"/>
      <c r="D9" s="334"/>
      <c r="E9" s="63" t="s">
        <v>124</v>
      </c>
      <c r="F9" s="64">
        <v>0</v>
      </c>
      <c r="G9" s="65">
        <v>0</v>
      </c>
      <c r="H9" s="66"/>
      <c r="I9" s="58"/>
      <c r="J9" s="58"/>
      <c r="K9" s="53"/>
      <c r="L9" s="58"/>
      <c r="M9" s="58"/>
      <c r="N9" s="58"/>
    </row>
    <row r="10" spans="2:14" ht="17.25" customHeight="1">
      <c r="B10" s="53"/>
      <c r="C10" s="58"/>
      <c r="D10" s="333">
        <v>4</v>
      </c>
      <c r="E10" s="59" t="s">
        <v>136</v>
      </c>
      <c r="F10" s="60">
        <v>0</v>
      </c>
      <c r="G10" s="61">
        <v>0</v>
      </c>
      <c r="H10" s="66" t="str">
        <f>+E11</f>
        <v>Deiner Michael</v>
      </c>
      <c r="I10" s="58"/>
      <c r="J10" s="58"/>
      <c r="K10" s="53"/>
      <c r="L10" s="58"/>
      <c r="M10" s="58"/>
      <c r="N10" s="58"/>
    </row>
    <row r="11" spans="2:14" ht="17.25" customHeight="1" thickBot="1">
      <c r="B11" s="53"/>
      <c r="C11" s="58"/>
      <c r="D11" s="334"/>
      <c r="E11" s="63" t="s">
        <v>137</v>
      </c>
      <c r="F11" s="64">
        <v>1</v>
      </c>
      <c r="G11" s="65">
        <v>0</v>
      </c>
      <c r="H11" s="66"/>
      <c r="I11" s="58"/>
      <c r="J11" s="58"/>
      <c r="K11" s="53"/>
      <c r="L11" s="58"/>
      <c r="M11" s="58"/>
      <c r="N11" s="58"/>
    </row>
    <row r="12" spans="2:14" ht="17.25" customHeight="1">
      <c r="B12" s="53"/>
      <c r="C12" s="58"/>
      <c r="D12" s="333">
        <v>5</v>
      </c>
      <c r="E12" s="59" t="s">
        <v>142</v>
      </c>
      <c r="F12" s="60">
        <v>13</v>
      </c>
      <c r="G12" s="61">
        <v>0</v>
      </c>
      <c r="H12" s="62" t="str">
        <f>+E13</f>
        <v>Gede Suyasa</v>
      </c>
      <c r="I12" s="58"/>
      <c r="J12" s="58"/>
      <c r="K12" s="53"/>
      <c r="L12" s="58"/>
      <c r="M12" s="58"/>
      <c r="N12" s="58"/>
    </row>
    <row r="13" spans="2:14" ht="17.25" customHeight="1" thickBot="1">
      <c r="B13" s="53"/>
      <c r="C13" s="58"/>
      <c r="D13" s="334"/>
      <c r="E13" s="63" t="s">
        <v>143</v>
      </c>
      <c r="F13" s="64">
        <v>10</v>
      </c>
      <c r="G13" s="65">
        <v>0</v>
      </c>
      <c r="H13" s="66"/>
      <c r="I13" s="58"/>
      <c r="J13" s="58"/>
      <c r="K13" s="53"/>
      <c r="L13" s="58"/>
      <c r="M13" s="58"/>
      <c r="N13" s="58"/>
    </row>
    <row r="14" spans="2:14" ht="17.25" customHeight="1">
      <c r="B14" s="53"/>
      <c r="C14" s="58"/>
      <c r="D14" s="333">
        <v>6</v>
      </c>
      <c r="E14" s="59" t="s">
        <v>154</v>
      </c>
      <c r="F14" s="60">
        <v>4</v>
      </c>
      <c r="G14" s="61">
        <v>0</v>
      </c>
      <c r="H14" s="66" t="str">
        <f>+E15</f>
        <v>Hubacher Stefan </v>
      </c>
      <c r="I14" s="58"/>
      <c r="J14" s="58"/>
      <c r="K14" s="53"/>
      <c r="L14" s="58"/>
      <c r="M14" s="58"/>
      <c r="N14" s="58"/>
    </row>
    <row r="15" spans="2:14" ht="17.25" customHeight="1" thickBot="1">
      <c r="B15" s="53"/>
      <c r="C15" s="58"/>
      <c r="D15" s="334"/>
      <c r="E15" s="63" t="s">
        <v>155</v>
      </c>
      <c r="F15" s="64">
        <v>17</v>
      </c>
      <c r="G15" s="65">
        <v>0</v>
      </c>
      <c r="H15" s="66"/>
      <c r="I15" s="58"/>
      <c r="J15" s="58"/>
      <c r="K15" s="53"/>
      <c r="L15" s="58"/>
      <c r="M15" s="58"/>
      <c r="N15" s="58"/>
    </row>
    <row r="16" spans="2:14" ht="17.25" customHeight="1">
      <c r="B16" s="53"/>
      <c r="C16" s="58"/>
      <c r="D16" s="333">
        <v>7</v>
      </c>
      <c r="E16" s="59" t="s">
        <v>140</v>
      </c>
      <c r="F16" s="60">
        <v>16</v>
      </c>
      <c r="G16" s="61">
        <v>0</v>
      </c>
      <c r="H16" s="66" t="str">
        <f>+E17</f>
        <v>Punsalan Dany</v>
      </c>
      <c r="I16" s="58"/>
      <c r="J16" s="58"/>
      <c r="K16" s="53"/>
      <c r="L16" s="58"/>
      <c r="M16" s="58"/>
      <c r="N16" s="58"/>
    </row>
    <row r="17" spans="2:14" ht="17.25" customHeight="1" thickBot="1">
      <c r="B17" s="53"/>
      <c r="C17" s="58"/>
      <c r="D17" s="334"/>
      <c r="E17" s="63" t="s">
        <v>141</v>
      </c>
      <c r="F17" s="64">
        <v>12</v>
      </c>
      <c r="G17" s="65">
        <v>0</v>
      </c>
      <c r="H17" s="66"/>
      <c r="I17" s="58"/>
      <c r="J17" s="58"/>
      <c r="K17" s="53"/>
      <c r="L17" s="58"/>
      <c r="M17" s="58"/>
      <c r="N17" s="58"/>
    </row>
    <row r="18" spans="2:14" ht="17.25" customHeight="1">
      <c r="B18" s="53"/>
      <c r="C18" s="58"/>
      <c r="D18" s="333">
        <v>8</v>
      </c>
      <c r="E18" s="59" t="s">
        <v>182</v>
      </c>
      <c r="F18" s="60">
        <v>8</v>
      </c>
      <c r="G18" s="61">
        <v>0</v>
      </c>
      <c r="H18" s="66" t="str">
        <f>+E19</f>
        <v>Fiorani Lucio</v>
      </c>
      <c r="I18" s="58"/>
      <c r="J18" s="58"/>
      <c r="K18" s="53"/>
      <c r="L18" s="58"/>
      <c r="M18" s="58"/>
      <c r="N18" s="58"/>
    </row>
    <row r="19" spans="2:14" ht="17.25" customHeight="1" thickBot="1">
      <c r="B19" s="53"/>
      <c r="C19" s="58"/>
      <c r="D19" s="334"/>
      <c r="E19" s="63" t="s">
        <v>122</v>
      </c>
      <c r="F19" s="64">
        <v>0</v>
      </c>
      <c r="G19" s="65">
        <v>0</v>
      </c>
      <c r="H19" s="66"/>
      <c r="I19" s="58"/>
      <c r="J19" s="58"/>
      <c r="K19" s="53"/>
      <c r="L19" s="58"/>
      <c r="M19" s="58"/>
      <c r="N19" s="58"/>
    </row>
    <row r="20" spans="2:14" ht="26.25">
      <c r="B20" s="53"/>
      <c r="C20" s="58"/>
      <c r="D20" s="53"/>
      <c r="E20" s="67"/>
      <c r="F20" s="68"/>
      <c r="G20" s="69"/>
      <c r="H20" s="70"/>
      <c r="I20" s="71"/>
      <c r="J20" s="71"/>
      <c r="K20" s="71"/>
      <c r="L20" s="71"/>
      <c r="M20" s="71"/>
      <c r="N20" s="71"/>
    </row>
    <row r="21" spans="2:14" ht="37.5">
      <c r="B21" s="53"/>
      <c r="C21" s="58"/>
      <c r="D21" s="53"/>
      <c r="E21" s="72" t="s">
        <v>171</v>
      </c>
      <c r="F21" s="68"/>
      <c r="G21" s="73"/>
      <c r="H21" s="74"/>
      <c r="I21" s="75"/>
      <c r="J21" s="76"/>
      <c r="K21" s="77"/>
      <c r="L21" s="73"/>
      <c r="M21" s="73"/>
      <c r="N21" s="78"/>
    </row>
    <row r="22" spans="2:14" ht="26.25">
      <c r="B22" s="53"/>
      <c r="C22" s="54"/>
      <c r="D22" s="53"/>
      <c r="E22" s="79"/>
      <c r="F22" s="80"/>
      <c r="G22" s="81"/>
      <c r="H22" s="81"/>
      <c r="I22" s="81"/>
      <c r="J22" s="81"/>
      <c r="K22" s="81"/>
      <c r="L22" s="81"/>
      <c r="M22" s="81"/>
      <c r="N22" s="81"/>
    </row>
    <row r="23" spans="2:13" ht="26.25">
      <c r="B23" s="53"/>
      <c r="C23" s="54"/>
      <c r="D23" s="53"/>
      <c r="E23" s="82" t="s">
        <v>174</v>
      </c>
      <c r="F23" s="80"/>
      <c r="G23" s="81"/>
      <c r="H23" s="83" t="s">
        <v>20</v>
      </c>
      <c r="I23" s="81"/>
      <c r="J23" s="81"/>
      <c r="K23" s="81"/>
      <c r="L23" s="81"/>
      <c r="M23" s="81"/>
    </row>
    <row r="24" spans="2:14" ht="26.25">
      <c r="B24" s="53"/>
      <c r="C24" s="58"/>
      <c r="D24" s="53"/>
      <c r="E24" s="67"/>
      <c r="F24" s="68"/>
      <c r="G24" s="69"/>
      <c r="H24" s="70"/>
      <c r="I24" s="84"/>
      <c r="J24" s="76"/>
      <c r="K24" s="77"/>
      <c r="L24" s="73"/>
      <c r="M24" s="73"/>
      <c r="N24" s="78"/>
    </row>
    <row r="25" spans="2:14" ht="27" thickBot="1">
      <c r="B25" s="53"/>
      <c r="C25" s="58"/>
      <c r="D25" s="85" t="s">
        <v>38</v>
      </c>
      <c r="E25" s="86"/>
      <c r="F25" s="87" t="s">
        <v>39</v>
      </c>
      <c r="G25" s="88"/>
      <c r="H25" s="89"/>
      <c r="I25" s="84"/>
      <c r="J25" s="76"/>
      <c r="K25" s="77"/>
      <c r="L25" s="73"/>
      <c r="M25" s="73"/>
      <c r="N25" s="78"/>
    </row>
    <row r="26" spans="2:14" ht="21.75" customHeight="1" thickBot="1">
      <c r="B26" s="90"/>
      <c r="C26" s="91"/>
      <c r="D26" s="335">
        <f>+D4</f>
        <v>1</v>
      </c>
      <c r="E26" s="59" t="str">
        <f>+E4</f>
        <v>Stucki Daryl</v>
      </c>
      <c r="F26" s="60">
        <f>+F4</f>
        <v>11</v>
      </c>
      <c r="G26" s="92"/>
      <c r="H26" s="92"/>
      <c r="I26" s="92"/>
      <c r="J26" s="92"/>
      <c r="K26" s="92"/>
      <c r="L26" s="92"/>
      <c r="M26" s="92"/>
      <c r="N26" s="92"/>
    </row>
    <row r="27" spans="2:13" ht="21.75" customHeight="1" thickBot="1">
      <c r="B27" s="53"/>
      <c r="C27" s="58"/>
      <c r="D27" s="335"/>
      <c r="E27" s="93" t="str">
        <f>+E5</f>
        <v>Haasper Kevin</v>
      </c>
      <c r="F27" s="94">
        <f>+F5</f>
        <v>10</v>
      </c>
      <c r="G27" s="95"/>
      <c r="H27" s="95"/>
      <c r="I27" s="96"/>
      <c r="J27" s="95"/>
      <c r="K27" s="95"/>
      <c r="L27" s="95"/>
      <c r="M27" s="95"/>
    </row>
    <row r="28" spans="2:13" ht="39" thickBot="1">
      <c r="B28" s="90" t="s">
        <v>41</v>
      </c>
      <c r="C28" s="90" t="s">
        <v>42</v>
      </c>
      <c r="D28" s="97" t="s">
        <v>38</v>
      </c>
      <c r="E28" s="98" t="s">
        <v>1</v>
      </c>
      <c r="F28" s="99"/>
      <c r="G28" s="96" t="s">
        <v>43</v>
      </c>
      <c r="H28" s="100"/>
      <c r="I28" s="101" t="s">
        <v>44</v>
      </c>
      <c r="J28" s="97" t="s">
        <v>83</v>
      </c>
      <c r="K28" s="101" t="s">
        <v>45</v>
      </c>
      <c r="L28" s="96" t="s">
        <v>46</v>
      </c>
      <c r="M28" s="95"/>
    </row>
    <row r="29" spans="2:14" ht="18">
      <c r="B29" s="336">
        <v>1</v>
      </c>
      <c r="C29" s="337">
        <f>VLOOKUP(D26,Plan!$F$25:$N$32,9,0)</f>
        <v>1</v>
      </c>
      <c r="D29" s="339">
        <f>+Plan!$F$15</f>
        <v>2</v>
      </c>
      <c r="E29" s="59" t="str">
        <f>VLOOKUP(D29,$D$3:$H$18,2,0)</f>
        <v>Gnägi Kevin</v>
      </c>
      <c r="F29" s="102"/>
      <c r="G29" s="103"/>
      <c r="H29" s="104"/>
      <c r="I29" s="271"/>
      <c r="J29" s="275"/>
      <c r="K29" s="273"/>
      <c r="L29" s="106"/>
      <c r="M29" s="340" t="s">
        <v>47</v>
      </c>
      <c r="N29" s="107"/>
    </row>
    <row r="30" spans="2:14" ht="18.75" thickBot="1">
      <c r="B30" s="336"/>
      <c r="C30" s="338"/>
      <c r="D30" s="339"/>
      <c r="E30" s="108" t="str">
        <f>VLOOKUP(D29,$D$3:$H$18,5,0)</f>
        <v>Suter Martin</v>
      </c>
      <c r="F30" s="102"/>
      <c r="G30" s="109"/>
      <c r="H30" s="104"/>
      <c r="I30" s="272"/>
      <c r="J30" s="276"/>
      <c r="K30" s="274"/>
      <c r="L30" s="111"/>
      <c r="M30" s="341"/>
      <c r="N30" s="112"/>
    </row>
    <row r="31" spans="2:14" ht="18">
      <c r="B31" s="336">
        <v>2</v>
      </c>
      <c r="C31" s="337">
        <f>VLOOKUP(D26,Plan!$G$25:$N$32,8,0)</f>
        <v>7</v>
      </c>
      <c r="D31" s="339">
        <f>+Plan!$F$16</f>
        <v>3</v>
      </c>
      <c r="E31" s="59" t="str">
        <f>VLOOKUP(D31,$D$3:$H$18,2,0)</f>
        <v>Ancarani Sandro</v>
      </c>
      <c r="F31" s="102"/>
      <c r="G31" s="103"/>
      <c r="H31" s="104"/>
      <c r="I31" s="271"/>
      <c r="J31" s="275"/>
      <c r="K31" s="273"/>
      <c r="L31" s="106"/>
      <c r="M31" s="340" t="s">
        <v>47</v>
      </c>
      <c r="N31" s="107"/>
    </row>
    <row r="32" spans="2:14" ht="18.75" thickBot="1">
      <c r="B32" s="336"/>
      <c r="C32" s="338"/>
      <c r="D32" s="339"/>
      <c r="E32" s="108" t="str">
        <f>VLOOKUP(D31,$D$3:$H$18,5,0)</f>
        <v>Thurston Roger</v>
      </c>
      <c r="F32" s="102"/>
      <c r="G32" s="109"/>
      <c r="H32" s="104"/>
      <c r="I32" s="272"/>
      <c r="J32" s="276"/>
      <c r="K32" s="274"/>
      <c r="L32" s="111"/>
      <c r="M32" s="341"/>
      <c r="N32" s="112"/>
    </row>
    <row r="33" spans="2:14" ht="18">
      <c r="B33" s="336">
        <v>3</v>
      </c>
      <c r="C33" s="337">
        <f>VLOOKUP(D26,Plan!$H$25:$N$32,7,0)</f>
        <v>3</v>
      </c>
      <c r="D33" s="339">
        <f>+Plan!$F$17</f>
        <v>8</v>
      </c>
      <c r="E33" s="59" t="str">
        <f>VLOOKUP(D33,$D$3:$H$18,2,0)</f>
        <v>Ancarani Mario</v>
      </c>
      <c r="F33" s="102"/>
      <c r="G33" s="103"/>
      <c r="H33" s="104"/>
      <c r="I33" s="271"/>
      <c r="J33" s="275"/>
      <c r="K33" s="273"/>
      <c r="L33" s="106"/>
      <c r="M33" s="340" t="s">
        <v>47</v>
      </c>
      <c r="N33" s="107"/>
    </row>
    <row r="34" spans="2:14" ht="18.75" thickBot="1">
      <c r="B34" s="336"/>
      <c r="C34" s="338"/>
      <c r="D34" s="339"/>
      <c r="E34" s="108" t="str">
        <f>VLOOKUP(D33,$D$3:$H$18,5,0)</f>
        <v>Fiorani Lucio</v>
      </c>
      <c r="F34" s="102"/>
      <c r="G34" s="109"/>
      <c r="H34" s="104"/>
      <c r="I34" s="272"/>
      <c r="J34" s="276"/>
      <c r="K34" s="274"/>
      <c r="L34" s="111"/>
      <c r="M34" s="341"/>
      <c r="N34" s="112"/>
    </row>
    <row r="35" spans="2:14" ht="18">
      <c r="B35" s="336">
        <v>4</v>
      </c>
      <c r="C35" s="337">
        <f>VLOOKUP(D26,Plan!$I$25:$N$32,6,0)</f>
        <v>5</v>
      </c>
      <c r="D35" s="339">
        <f>+Plan!$F$18</f>
        <v>5</v>
      </c>
      <c r="E35" s="59" t="str">
        <f>VLOOKUP(D35,$D$3:$H$18,2,0)</f>
        <v>Gede Mudana</v>
      </c>
      <c r="F35" s="102"/>
      <c r="G35" s="103"/>
      <c r="H35" s="104"/>
      <c r="I35" s="271"/>
      <c r="J35" s="275"/>
      <c r="K35" s="273"/>
      <c r="L35" s="106"/>
      <c r="M35" s="340" t="s">
        <v>47</v>
      </c>
      <c r="N35" s="107"/>
    </row>
    <row r="36" spans="2:14" ht="18.75" thickBot="1">
      <c r="B36" s="336"/>
      <c r="C36" s="338"/>
      <c r="D36" s="339"/>
      <c r="E36" s="108" t="str">
        <f>VLOOKUP(D35,$D$3:$H$18,5,0)</f>
        <v>Gede Suyasa</v>
      </c>
      <c r="F36" s="102"/>
      <c r="G36" s="109"/>
      <c r="H36" s="104"/>
      <c r="I36" s="272"/>
      <c r="J36" s="276"/>
      <c r="K36" s="274"/>
      <c r="L36" s="111"/>
      <c r="M36" s="341"/>
      <c r="N36" s="112"/>
    </row>
    <row r="37" spans="2:14" ht="18">
      <c r="B37" s="336">
        <v>5</v>
      </c>
      <c r="C37" s="337">
        <f>VLOOKUP(D26,Plan!$J$25:$N$32,5,0)</f>
        <v>2</v>
      </c>
      <c r="D37" s="339">
        <f>+Plan!$F$19</f>
        <v>7</v>
      </c>
      <c r="E37" s="59" t="str">
        <f>VLOOKUP(D37,$D$3:$H$18,2,0)</f>
        <v>Meyer Samuel</v>
      </c>
      <c r="F37" s="102"/>
      <c r="G37" s="103"/>
      <c r="H37" s="104"/>
      <c r="I37" s="271"/>
      <c r="J37" s="275"/>
      <c r="K37" s="273"/>
      <c r="L37" s="106"/>
      <c r="M37" s="340" t="s">
        <v>47</v>
      </c>
      <c r="N37" s="107"/>
    </row>
    <row r="38" spans="2:14" ht="18.75" thickBot="1">
      <c r="B38" s="336"/>
      <c r="C38" s="338"/>
      <c r="D38" s="339"/>
      <c r="E38" s="108" t="str">
        <f>VLOOKUP(D37,$D$3:$H$18,5,0)</f>
        <v>Punsalan Dany</v>
      </c>
      <c r="F38" s="102"/>
      <c r="G38" s="109"/>
      <c r="H38" s="104"/>
      <c r="I38" s="272"/>
      <c r="J38" s="276"/>
      <c r="K38" s="274"/>
      <c r="L38" s="111"/>
      <c r="M38" s="341"/>
      <c r="N38" s="112"/>
    </row>
    <row r="39" spans="2:14" ht="18">
      <c r="B39" s="336">
        <v>6</v>
      </c>
      <c r="C39" s="337">
        <f>VLOOKUP(D26,Plan!$K$25:$N$32,4,0)</f>
        <v>6</v>
      </c>
      <c r="D39" s="339">
        <f>+Plan!$F$20</f>
        <v>4</v>
      </c>
      <c r="E39" s="59" t="str">
        <f>VLOOKUP(D39,$D$3:$H$18,2,0)</f>
        <v>Bloch Stefan</v>
      </c>
      <c r="F39" s="102"/>
      <c r="G39" s="103"/>
      <c r="H39" s="104"/>
      <c r="I39" s="271"/>
      <c r="J39" s="275"/>
      <c r="K39" s="273"/>
      <c r="L39" s="106"/>
      <c r="M39" s="340" t="s">
        <v>47</v>
      </c>
      <c r="N39" s="107"/>
    </row>
    <row r="40" spans="2:14" ht="18.75" thickBot="1">
      <c r="B40" s="336"/>
      <c r="C40" s="338"/>
      <c r="D40" s="339"/>
      <c r="E40" s="108" t="str">
        <f>VLOOKUP(D39,$D$3:$H$18,5,0)</f>
        <v>Deiner Michael</v>
      </c>
      <c r="F40" s="102"/>
      <c r="G40" s="109"/>
      <c r="H40" s="104"/>
      <c r="I40" s="272"/>
      <c r="J40" s="276"/>
      <c r="K40" s="274"/>
      <c r="L40" s="111"/>
      <c r="M40" s="341"/>
      <c r="N40" s="112"/>
    </row>
    <row r="41" spans="2:14" ht="18">
      <c r="B41" s="336">
        <v>7</v>
      </c>
      <c r="C41" s="337">
        <f>VLOOKUP(D26,Plan!$L$25:$N$32,3,0)</f>
        <v>4</v>
      </c>
      <c r="D41" s="339">
        <f>+Plan!$F$21</f>
        <v>6</v>
      </c>
      <c r="E41" s="59" t="str">
        <f>VLOOKUP(D41,$D$3:$H$18,2,0)</f>
        <v>Jauch Daniel </v>
      </c>
      <c r="F41" s="102"/>
      <c r="G41" s="103"/>
      <c r="H41" s="104"/>
      <c r="I41" s="271"/>
      <c r="J41" s="275"/>
      <c r="K41" s="273"/>
      <c r="L41" s="106"/>
      <c r="M41" s="340" t="s">
        <v>47</v>
      </c>
      <c r="N41" s="107"/>
    </row>
    <row r="42" spans="2:14" ht="18.75" thickBot="1">
      <c r="B42" s="336"/>
      <c r="C42" s="338"/>
      <c r="D42" s="339"/>
      <c r="E42" s="108" t="str">
        <f>VLOOKUP(D41,$D$3:$H$18,5,0)</f>
        <v>Hubacher Stefan </v>
      </c>
      <c r="F42" s="102"/>
      <c r="G42" s="109"/>
      <c r="H42" s="104"/>
      <c r="I42" s="272"/>
      <c r="J42" s="276"/>
      <c r="K42" s="274"/>
      <c r="L42" s="111"/>
      <c r="M42" s="341"/>
      <c r="N42" s="112"/>
    </row>
    <row r="43" spans="2:14" ht="12.75">
      <c r="B43" s="113"/>
      <c r="C43" s="114"/>
      <c r="D43" s="113"/>
      <c r="E43" s="115"/>
      <c r="F43" s="116"/>
      <c r="G43" s="117"/>
      <c r="H43" s="117"/>
      <c r="I43" s="117"/>
      <c r="J43" s="117"/>
      <c r="K43" s="117"/>
      <c r="L43" s="117"/>
      <c r="M43" s="117"/>
      <c r="N43" s="117"/>
    </row>
    <row r="44" spans="2:14" ht="20.25">
      <c r="B44" s="118"/>
      <c r="C44" s="119"/>
      <c r="D44" s="118"/>
      <c r="E44" s="119"/>
      <c r="F44" s="119"/>
      <c r="G44" s="120" t="s">
        <v>45</v>
      </c>
      <c r="H44" s="119"/>
      <c r="I44" s="121" t="s">
        <v>48</v>
      </c>
      <c r="J44" s="122"/>
      <c r="L44" s="123" t="s">
        <v>56</v>
      </c>
      <c r="M44" s="122"/>
      <c r="N44" s="122"/>
    </row>
    <row r="45" spans="2:14" ht="20.25">
      <c r="B45" s="118"/>
      <c r="C45" s="119"/>
      <c r="D45" s="118"/>
      <c r="E45" s="124"/>
      <c r="F45" s="119"/>
      <c r="G45" s="125"/>
      <c r="H45" s="119"/>
      <c r="I45" s="121" t="s">
        <v>49</v>
      </c>
      <c r="J45" s="122"/>
      <c r="L45" s="123" t="s">
        <v>57</v>
      </c>
      <c r="M45" s="122"/>
      <c r="N45" s="122"/>
    </row>
    <row r="46" spans="2:14" ht="20.25">
      <c r="B46" s="118"/>
      <c r="C46" s="119"/>
      <c r="D46" s="118"/>
      <c r="E46" s="124"/>
      <c r="F46" s="119"/>
      <c r="G46" s="125"/>
      <c r="H46" s="119"/>
      <c r="I46" s="121" t="s">
        <v>58</v>
      </c>
      <c r="J46" s="122"/>
      <c r="K46" s="123"/>
      <c r="L46" s="123" t="s">
        <v>59</v>
      </c>
      <c r="M46" s="122"/>
      <c r="N46" s="122"/>
    </row>
    <row r="47" spans="2:14" ht="20.25">
      <c r="B47" s="118"/>
      <c r="C47" s="119"/>
      <c r="D47" s="118"/>
      <c r="E47" s="124"/>
      <c r="F47" s="119"/>
      <c r="G47" s="125"/>
      <c r="H47" s="119"/>
      <c r="I47" s="121" t="s">
        <v>60</v>
      </c>
      <c r="J47" s="122"/>
      <c r="K47" s="123"/>
      <c r="L47" s="123" t="s">
        <v>61</v>
      </c>
      <c r="M47" s="122"/>
      <c r="N47" s="122"/>
    </row>
    <row r="48" spans="2:14" ht="12.75">
      <c r="B48" s="53"/>
      <c r="C48" s="58"/>
      <c r="D48" s="53"/>
      <c r="E48" s="126"/>
      <c r="F48" s="127"/>
      <c r="G48" s="71"/>
      <c r="H48" s="71"/>
      <c r="I48" s="71"/>
      <c r="J48" s="71"/>
      <c r="K48" s="71"/>
      <c r="L48" s="71"/>
      <c r="M48" s="71"/>
      <c r="N48" s="71"/>
    </row>
    <row r="49" spans="2:14" ht="37.5">
      <c r="B49" s="53"/>
      <c r="C49" s="58"/>
      <c r="D49" s="53"/>
      <c r="E49" s="72" t="s">
        <v>171</v>
      </c>
      <c r="F49" s="68"/>
      <c r="G49" s="73"/>
      <c r="H49" s="74"/>
      <c r="I49" s="75"/>
      <c r="J49" s="76"/>
      <c r="K49" s="77"/>
      <c r="L49" s="73"/>
      <c r="M49" s="73"/>
      <c r="N49" s="78"/>
    </row>
    <row r="50" spans="2:14" ht="26.25">
      <c r="B50" s="53"/>
      <c r="C50" s="54"/>
      <c r="D50" s="53"/>
      <c r="E50" s="79"/>
      <c r="F50" s="80"/>
      <c r="G50" s="81"/>
      <c r="H50" s="81"/>
      <c r="I50" s="81"/>
      <c r="J50" s="81"/>
      <c r="K50" s="81"/>
      <c r="L50" s="81"/>
      <c r="M50" s="81"/>
      <c r="N50" s="81"/>
    </row>
    <row r="51" spans="2:13" ht="26.25">
      <c r="B51" s="53"/>
      <c r="C51" s="54"/>
      <c r="D51" s="53"/>
      <c r="E51" s="82" t="s">
        <v>174</v>
      </c>
      <c r="F51" s="80"/>
      <c r="G51" s="81"/>
      <c r="H51" s="83" t="s">
        <v>20</v>
      </c>
      <c r="I51" s="81"/>
      <c r="J51" s="81"/>
      <c r="K51" s="81"/>
      <c r="L51" s="81"/>
      <c r="M51" s="81"/>
    </row>
    <row r="52" spans="2:14" ht="26.25">
      <c r="B52" s="53"/>
      <c r="C52" s="58"/>
      <c r="D52" s="53"/>
      <c r="E52" s="67"/>
      <c r="F52" s="68"/>
      <c r="G52" s="69"/>
      <c r="H52" s="70"/>
      <c r="I52" s="84"/>
      <c r="J52" s="76"/>
      <c r="K52" s="77"/>
      <c r="L52" s="73"/>
      <c r="M52" s="73"/>
      <c r="N52" s="78"/>
    </row>
    <row r="53" spans="2:14" ht="27" thickBot="1">
      <c r="B53" s="53"/>
      <c r="C53" s="58"/>
      <c r="D53" s="85" t="s">
        <v>38</v>
      </c>
      <c r="E53" s="86"/>
      <c r="F53" s="87" t="s">
        <v>39</v>
      </c>
      <c r="G53" s="88"/>
      <c r="H53" s="89"/>
      <c r="I53" s="84"/>
      <c r="J53" s="76"/>
      <c r="K53" s="77"/>
      <c r="L53" s="73"/>
      <c r="M53" s="73"/>
      <c r="N53" s="78"/>
    </row>
    <row r="54" spans="2:14" ht="18.75" thickBot="1">
      <c r="B54" s="90"/>
      <c r="C54" s="91"/>
      <c r="D54" s="335">
        <f>+D6</f>
        <v>2</v>
      </c>
      <c r="E54" s="59" t="str">
        <f>+E6</f>
        <v>Gnägi Kevin</v>
      </c>
      <c r="F54" s="60">
        <f>+F6</f>
        <v>2</v>
      </c>
      <c r="G54" s="92"/>
      <c r="H54" s="92"/>
      <c r="I54" s="92"/>
      <c r="J54" s="92"/>
      <c r="K54" s="92"/>
      <c r="L54" s="92"/>
      <c r="M54" s="92"/>
      <c r="N54" s="92"/>
    </row>
    <row r="55" spans="2:13" ht="18.75" thickBot="1">
      <c r="B55" s="53"/>
      <c r="C55" s="58"/>
      <c r="D55" s="335"/>
      <c r="E55" s="93" t="str">
        <f>+E7</f>
        <v>Suter Martin</v>
      </c>
      <c r="F55" s="94">
        <f>+F7</f>
        <v>1</v>
      </c>
      <c r="G55" s="95"/>
      <c r="H55" s="95"/>
      <c r="I55" s="96"/>
      <c r="J55" s="95"/>
      <c r="K55" s="95"/>
      <c r="L55" s="95"/>
      <c r="M55" s="95"/>
    </row>
    <row r="56" spans="2:13" ht="39" thickBot="1">
      <c r="B56" s="90" t="s">
        <v>41</v>
      </c>
      <c r="C56" s="90" t="s">
        <v>42</v>
      </c>
      <c r="D56" s="97" t="s">
        <v>38</v>
      </c>
      <c r="E56" s="98" t="s">
        <v>1</v>
      </c>
      <c r="F56" s="99"/>
      <c r="G56" s="96" t="s">
        <v>43</v>
      </c>
      <c r="H56" s="100"/>
      <c r="I56" s="101" t="s">
        <v>44</v>
      </c>
      <c r="J56" s="97" t="s">
        <v>83</v>
      </c>
      <c r="K56" s="101" t="s">
        <v>45</v>
      </c>
      <c r="L56" s="96" t="s">
        <v>46</v>
      </c>
      <c r="M56" s="95"/>
    </row>
    <row r="57" spans="2:14" ht="18">
      <c r="B57" s="336">
        <v>1</v>
      </c>
      <c r="C57" s="337">
        <f>VLOOKUP(D54,Plan!$F$25:$N$32,9,0)</f>
        <v>2</v>
      </c>
      <c r="D57" s="339">
        <f>+Plan!$G$15</f>
        <v>1</v>
      </c>
      <c r="E57" s="59" t="str">
        <f>VLOOKUP(D57,$D$3:$H$18,2,0)</f>
        <v>Stucki Daryl</v>
      </c>
      <c r="F57" s="102"/>
      <c r="G57" s="103"/>
      <c r="H57" s="104"/>
      <c r="I57" s="271"/>
      <c r="J57" s="275"/>
      <c r="K57" s="105"/>
      <c r="L57" s="106"/>
      <c r="M57" s="340" t="s">
        <v>47</v>
      </c>
      <c r="N57" s="107"/>
    </row>
    <row r="58" spans="2:14" ht="18.75" thickBot="1">
      <c r="B58" s="336"/>
      <c r="C58" s="338"/>
      <c r="D58" s="339"/>
      <c r="E58" s="108" t="str">
        <f>VLOOKUP(D57,$D$3:$H$18,5,0)</f>
        <v>Haasper Kevin</v>
      </c>
      <c r="F58" s="102"/>
      <c r="G58" s="109"/>
      <c r="H58" s="104"/>
      <c r="I58" s="272"/>
      <c r="J58" s="276"/>
      <c r="K58" s="110"/>
      <c r="L58" s="111"/>
      <c r="M58" s="341"/>
      <c r="N58" s="112"/>
    </row>
    <row r="59" spans="2:14" ht="18">
      <c r="B59" s="336">
        <v>2</v>
      </c>
      <c r="C59" s="337">
        <f>VLOOKUP(D54,Plan!$G$25:$N$32,8,0)</f>
        <v>5</v>
      </c>
      <c r="D59" s="339">
        <f>+Plan!$G$16</f>
        <v>4</v>
      </c>
      <c r="E59" s="59" t="str">
        <f>VLOOKUP(D59,$D$3:$H$18,2,0)</f>
        <v>Bloch Stefan</v>
      </c>
      <c r="F59" s="102"/>
      <c r="G59" s="103"/>
      <c r="H59" s="104"/>
      <c r="I59" s="271"/>
      <c r="J59" s="275"/>
      <c r="K59" s="105"/>
      <c r="L59" s="106"/>
      <c r="M59" s="340" t="s">
        <v>47</v>
      </c>
      <c r="N59" s="107"/>
    </row>
    <row r="60" spans="2:14" ht="18.75" thickBot="1">
      <c r="B60" s="336"/>
      <c r="C60" s="338"/>
      <c r="D60" s="339"/>
      <c r="E60" s="108" t="str">
        <f>VLOOKUP(D59,$D$3:$H$18,5,0)</f>
        <v>Deiner Michael</v>
      </c>
      <c r="F60" s="102"/>
      <c r="G60" s="109"/>
      <c r="H60" s="104"/>
      <c r="I60" s="272"/>
      <c r="J60" s="276"/>
      <c r="K60" s="110"/>
      <c r="L60" s="111"/>
      <c r="M60" s="341"/>
      <c r="N60" s="112"/>
    </row>
    <row r="61" spans="2:14" ht="18">
      <c r="B61" s="336">
        <v>3</v>
      </c>
      <c r="C61" s="337">
        <f>VLOOKUP(D54,Plan!$H$25:$N$32,7,0)</f>
        <v>7</v>
      </c>
      <c r="D61" s="339">
        <f>+Plan!$G$17</f>
        <v>6</v>
      </c>
      <c r="E61" s="59" t="str">
        <f>VLOOKUP(D61,$D$3:$H$18,2,0)</f>
        <v>Jauch Daniel </v>
      </c>
      <c r="F61" s="102"/>
      <c r="G61" s="103"/>
      <c r="H61" s="104"/>
      <c r="I61" s="271"/>
      <c r="J61" s="275"/>
      <c r="K61" s="105"/>
      <c r="L61" s="106"/>
      <c r="M61" s="340" t="s">
        <v>47</v>
      </c>
      <c r="N61" s="107"/>
    </row>
    <row r="62" spans="2:14" ht="18.75" thickBot="1">
      <c r="B62" s="336"/>
      <c r="C62" s="338"/>
      <c r="D62" s="339"/>
      <c r="E62" s="108" t="str">
        <f>VLOOKUP(D61,$D$3:$H$18,5,0)</f>
        <v>Hubacher Stefan </v>
      </c>
      <c r="F62" s="102"/>
      <c r="G62" s="109"/>
      <c r="H62" s="104"/>
      <c r="I62" s="272"/>
      <c r="J62" s="276"/>
      <c r="K62" s="110"/>
      <c r="L62" s="111"/>
      <c r="M62" s="341"/>
      <c r="N62" s="112"/>
    </row>
    <row r="63" spans="2:14" ht="18">
      <c r="B63" s="336">
        <v>4</v>
      </c>
      <c r="C63" s="337">
        <f>VLOOKUP(D54,Plan!$I$25:$N$32,6,0)</f>
        <v>4</v>
      </c>
      <c r="D63" s="339">
        <f>+Plan!$G$18</f>
        <v>7</v>
      </c>
      <c r="E63" s="59" t="str">
        <f>VLOOKUP(D63,$D$3:$H$18,2,0)</f>
        <v>Meyer Samuel</v>
      </c>
      <c r="F63" s="102"/>
      <c r="G63" s="103"/>
      <c r="H63" s="104"/>
      <c r="I63" s="271"/>
      <c r="J63" s="275"/>
      <c r="K63" s="105"/>
      <c r="L63" s="106"/>
      <c r="M63" s="340" t="s">
        <v>47</v>
      </c>
      <c r="N63" s="107"/>
    </row>
    <row r="64" spans="2:14" ht="18.75" thickBot="1">
      <c r="B64" s="336"/>
      <c r="C64" s="338"/>
      <c r="D64" s="339"/>
      <c r="E64" s="108" t="str">
        <f>VLOOKUP(D63,$D$3:$H$18,5,0)</f>
        <v>Punsalan Dany</v>
      </c>
      <c r="F64" s="102"/>
      <c r="G64" s="109"/>
      <c r="H64" s="104"/>
      <c r="I64" s="272"/>
      <c r="J64" s="276"/>
      <c r="K64" s="110"/>
      <c r="L64" s="111"/>
      <c r="M64" s="341"/>
      <c r="N64" s="112"/>
    </row>
    <row r="65" spans="2:14" ht="18">
      <c r="B65" s="336">
        <v>5</v>
      </c>
      <c r="C65" s="337">
        <f>VLOOKUP(D54,Plan!$J$25:$N$32,5,0)</f>
        <v>8</v>
      </c>
      <c r="D65" s="339">
        <f>+Plan!$G$19</f>
        <v>5</v>
      </c>
      <c r="E65" s="59" t="str">
        <f>VLOOKUP(D65,$D$3:$H$18,2,0)</f>
        <v>Gede Mudana</v>
      </c>
      <c r="F65" s="102"/>
      <c r="G65" s="103"/>
      <c r="H65" s="104"/>
      <c r="I65" s="271"/>
      <c r="J65" s="275"/>
      <c r="K65" s="105"/>
      <c r="L65" s="106"/>
      <c r="M65" s="340" t="s">
        <v>47</v>
      </c>
      <c r="N65" s="107"/>
    </row>
    <row r="66" spans="2:14" ht="18.75" thickBot="1">
      <c r="B66" s="336"/>
      <c r="C66" s="338"/>
      <c r="D66" s="339"/>
      <c r="E66" s="108" t="str">
        <f>VLOOKUP(D65,$D$3:$H$18,5,0)</f>
        <v>Gede Suyasa</v>
      </c>
      <c r="F66" s="102"/>
      <c r="G66" s="109"/>
      <c r="H66" s="104"/>
      <c r="I66" s="272"/>
      <c r="J66" s="276"/>
      <c r="K66" s="110"/>
      <c r="L66" s="111"/>
      <c r="M66" s="341"/>
      <c r="N66" s="112"/>
    </row>
    <row r="67" spans="2:14" ht="18">
      <c r="B67" s="336">
        <v>6</v>
      </c>
      <c r="C67" s="337">
        <f>VLOOKUP(D54,Plan!$K$25:$N$32,4,0)</f>
        <v>1</v>
      </c>
      <c r="D67" s="339">
        <f>+Plan!$G$20</f>
        <v>3</v>
      </c>
      <c r="E67" s="59" t="str">
        <f>VLOOKUP(D67,$D$3:$H$18,2,0)</f>
        <v>Ancarani Sandro</v>
      </c>
      <c r="F67" s="102"/>
      <c r="G67" s="103"/>
      <c r="H67" s="104"/>
      <c r="I67" s="271"/>
      <c r="J67" s="275"/>
      <c r="K67" s="105"/>
      <c r="L67" s="106"/>
      <c r="M67" s="340" t="s">
        <v>47</v>
      </c>
      <c r="N67" s="107"/>
    </row>
    <row r="68" spans="2:14" ht="18.75" thickBot="1">
      <c r="B68" s="336"/>
      <c r="C68" s="338"/>
      <c r="D68" s="339"/>
      <c r="E68" s="108" t="str">
        <f>VLOOKUP(D67,$D$3:$H$18,5,0)</f>
        <v>Thurston Roger</v>
      </c>
      <c r="F68" s="102"/>
      <c r="G68" s="109"/>
      <c r="H68" s="104"/>
      <c r="I68" s="272"/>
      <c r="J68" s="276"/>
      <c r="K68" s="110"/>
      <c r="L68" s="111"/>
      <c r="M68" s="341"/>
      <c r="N68" s="112"/>
    </row>
    <row r="69" spans="2:14" ht="18">
      <c r="B69" s="336">
        <v>7</v>
      </c>
      <c r="C69" s="337">
        <f>VLOOKUP(D54,Plan!$L$25:$N$32,3,0)</f>
        <v>6</v>
      </c>
      <c r="D69" s="339">
        <f>+Plan!$G$21</f>
        <v>8</v>
      </c>
      <c r="E69" s="59" t="str">
        <f>VLOOKUP(D69,$D$3:$H$18,2,0)</f>
        <v>Ancarani Mario</v>
      </c>
      <c r="F69" s="102"/>
      <c r="G69" s="103"/>
      <c r="H69" s="104"/>
      <c r="I69" s="271"/>
      <c r="J69" s="275"/>
      <c r="K69" s="105"/>
      <c r="L69" s="106"/>
      <c r="M69" s="340" t="s">
        <v>47</v>
      </c>
      <c r="N69" s="107"/>
    </row>
    <row r="70" spans="2:14" ht="18.75" thickBot="1">
      <c r="B70" s="336"/>
      <c r="C70" s="338"/>
      <c r="D70" s="339"/>
      <c r="E70" s="108" t="str">
        <f>VLOOKUP(D69,$D$3:$H$18,5,0)</f>
        <v>Fiorani Lucio</v>
      </c>
      <c r="F70" s="102"/>
      <c r="G70" s="109"/>
      <c r="H70" s="104"/>
      <c r="I70" s="272"/>
      <c r="J70" s="276"/>
      <c r="K70" s="110"/>
      <c r="L70" s="111"/>
      <c r="M70" s="341"/>
      <c r="N70" s="112"/>
    </row>
    <row r="71" spans="2:14" ht="12.75">
      <c r="B71" s="113"/>
      <c r="C71" s="114"/>
      <c r="D71" s="113"/>
      <c r="E71" s="115"/>
      <c r="F71" s="116"/>
      <c r="G71" s="117"/>
      <c r="H71" s="117"/>
      <c r="I71" s="117"/>
      <c r="J71" s="117"/>
      <c r="K71" s="117"/>
      <c r="L71" s="117"/>
      <c r="M71" s="117"/>
      <c r="N71" s="117"/>
    </row>
    <row r="72" spans="2:14" ht="20.25">
      <c r="B72" s="118"/>
      <c r="C72" s="119"/>
      <c r="D72" s="118"/>
      <c r="E72" s="119"/>
      <c r="F72" s="119"/>
      <c r="G72" s="120" t="s">
        <v>45</v>
      </c>
      <c r="H72" s="119"/>
      <c r="I72" s="121" t="s">
        <v>48</v>
      </c>
      <c r="J72" s="122"/>
      <c r="L72" s="123" t="s">
        <v>56</v>
      </c>
      <c r="M72" s="122"/>
      <c r="N72" s="122"/>
    </row>
    <row r="73" spans="2:14" ht="20.25">
      <c r="B73" s="118"/>
      <c r="C73" s="119"/>
      <c r="D73" s="118"/>
      <c r="E73" s="124"/>
      <c r="F73" s="119"/>
      <c r="G73" s="125"/>
      <c r="H73" s="119"/>
      <c r="I73" s="121" t="s">
        <v>49</v>
      </c>
      <c r="J73" s="122"/>
      <c r="L73" s="123" t="s">
        <v>57</v>
      </c>
      <c r="M73" s="122"/>
      <c r="N73" s="122"/>
    </row>
    <row r="74" spans="2:14" ht="20.25">
      <c r="B74" s="118"/>
      <c r="C74" s="119"/>
      <c r="D74" s="118"/>
      <c r="E74" s="124"/>
      <c r="F74" s="119"/>
      <c r="G74" s="125"/>
      <c r="H74" s="119"/>
      <c r="I74" s="121" t="s">
        <v>58</v>
      </c>
      <c r="J74" s="122"/>
      <c r="K74" s="123"/>
      <c r="L74" s="123" t="s">
        <v>59</v>
      </c>
      <c r="M74" s="122"/>
      <c r="N74" s="122"/>
    </row>
    <row r="75" spans="2:14" ht="20.25">
      <c r="B75" s="118"/>
      <c r="C75" s="119"/>
      <c r="D75" s="118"/>
      <c r="E75" s="124"/>
      <c r="F75" s="119"/>
      <c r="G75" s="125"/>
      <c r="H75" s="119"/>
      <c r="I75" s="121" t="s">
        <v>60</v>
      </c>
      <c r="J75" s="122"/>
      <c r="K75" s="123"/>
      <c r="L75" s="123" t="s">
        <v>61</v>
      </c>
      <c r="M75" s="122"/>
      <c r="N75" s="122"/>
    </row>
    <row r="76" spans="2:14" ht="12.75">
      <c r="B76" s="53"/>
      <c r="C76" s="58"/>
      <c r="D76" s="53"/>
      <c r="E76" s="126"/>
      <c r="F76" s="127"/>
      <c r="G76" s="71"/>
      <c r="H76" s="71"/>
      <c r="I76" s="71"/>
      <c r="J76" s="71"/>
      <c r="K76" s="71"/>
      <c r="L76" s="71"/>
      <c r="M76" s="71"/>
      <c r="N76" s="71"/>
    </row>
    <row r="77" spans="2:14" ht="37.5">
      <c r="B77" s="53"/>
      <c r="C77" s="58"/>
      <c r="D77" s="53"/>
      <c r="E77" s="72" t="s">
        <v>171</v>
      </c>
      <c r="F77" s="68"/>
      <c r="G77" s="73"/>
      <c r="H77" s="74"/>
      <c r="I77" s="75"/>
      <c r="J77" s="76"/>
      <c r="K77" s="77"/>
      <c r="L77" s="73"/>
      <c r="M77" s="73"/>
      <c r="N77" s="78"/>
    </row>
    <row r="78" spans="2:14" ht="26.25">
      <c r="B78" s="53"/>
      <c r="C78" s="54"/>
      <c r="D78" s="53"/>
      <c r="E78" s="79"/>
      <c r="F78" s="80"/>
      <c r="G78" s="81"/>
      <c r="H78" s="81"/>
      <c r="I78" s="81"/>
      <c r="J78" s="81"/>
      <c r="K78" s="81"/>
      <c r="L78" s="81"/>
      <c r="M78" s="81"/>
      <c r="N78" s="81"/>
    </row>
    <row r="79" spans="2:13" ht="26.25">
      <c r="B79" s="53"/>
      <c r="C79" s="54"/>
      <c r="D79" s="53"/>
      <c r="E79" s="82" t="s">
        <v>174</v>
      </c>
      <c r="F79" s="80"/>
      <c r="G79" s="81"/>
      <c r="H79" s="83" t="s">
        <v>20</v>
      </c>
      <c r="I79" s="81"/>
      <c r="J79" s="81"/>
      <c r="K79" s="81"/>
      <c r="L79" s="81"/>
      <c r="M79" s="81"/>
    </row>
    <row r="80" spans="2:14" ht="26.25">
      <c r="B80" s="53"/>
      <c r="C80" s="58"/>
      <c r="D80" s="53"/>
      <c r="E80" s="67"/>
      <c r="F80" s="68"/>
      <c r="G80" s="69"/>
      <c r="H80" s="70"/>
      <c r="I80" s="84"/>
      <c r="J80" s="76"/>
      <c r="K80" s="77"/>
      <c r="L80" s="73"/>
      <c r="M80" s="73"/>
      <c r="N80" s="78"/>
    </row>
    <row r="81" spans="2:14" ht="27" thickBot="1">
      <c r="B81" s="53"/>
      <c r="C81" s="58"/>
      <c r="D81" s="85" t="s">
        <v>38</v>
      </c>
      <c r="E81" s="86"/>
      <c r="F81" s="87" t="s">
        <v>39</v>
      </c>
      <c r="G81" s="88"/>
      <c r="H81" s="89"/>
      <c r="I81" s="84"/>
      <c r="J81" s="76"/>
      <c r="K81" s="77"/>
      <c r="L81" s="73"/>
      <c r="M81" s="73"/>
      <c r="N81" s="78"/>
    </row>
    <row r="82" spans="2:14" ht="18.75" thickBot="1">
      <c r="B82" s="90"/>
      <c r="C82" s="91"/>
      <c r="D82" s="335">
        <f>+D8</f>
        <v>3</v>
      </c>
      <c r="E82" s="59" t="str">
        <f>+E8</f>
        <v>Ancarani Sandro</v>
      </c>
      <c r="F82" s="60">
        <f>+F8</f>
        <v>0</v>
      </c>
      <c r="G82" s="92"/>
      <c r="H82" s="92"/>
      <c r="I82" s="92"/>
      <c r="J82" s="92"/>
      <c r="K82" s="92"/>
      <c r="L82" s="92"/>
      <c r="M82" s="92"/>
      <c r="N82" s="92"/>
    </row>
    <row r="83" spans="2:13" ht="18.75" thickBot="1">
      <c r="B83" s="53"/>
      <c r="C83" s="58"/>
      <c r="D83" s="335"/>
      <c r="E83" s="93" t="str">
        <f>+E9</f>
        <v>Thurston Roger</v>
      </c>
      <c r="F83" s="94">
        <f>+F9</f>
        <v>0</v>
      </c>
      <c r="G83" s="95"/>
      <c r="H83" s="95"/>
      <c r="I83" s="96"/>
      <c r="J83" s="95"/>
      <c r="K83" s="95"/>
      <c r="L83" s="95"/>
      <c r="M83" s="95"/>
    </row>
    <row r="84" spans="2:13" ht="39" thickBot="1">
      <c r="B84" s="90" t="s">
        <v>41</v>
      </c>
      <c r="C84" s="90" t="s">
        <v>42</v>
      </c>
      <c r="D84" s="97" t="s">
        <v>38</v>
      </c>
      <c r="E84" s="98" t="s">
        <v>1</v>
      </c>
      <c r="F84" s="99"/>
      <c r="G84" s="96" t="s">
        <v>43</v>
      </c>
      <c r="H84" s="100"/>
      <c r="I84" s="101" t="s">
        <v>44</v>
      </c>
      <c r="J84" s="97" t="s">
        <v>83</v>
      </c>
      <c r="K84" s="101" t="s">
        <v>45</v>
      </c>
      <c r="L84" s="96" t="s">
        <v>46</v>
      </c>
      <c r="M84" s="95"/>
    </row>
    <row r="85" spans="2:14" ht="18">
      <c r="B85" s="336">
        <v>1</v>
      </c>
      <c r="C85" s="337">
        <f>VLOOKUP(D82,Plan!$F$25:$N$32,9,0)</f>
        <v>3</v>
      </c>
      <c r="D85" s="339">
        <f>+Plan!$H$15</f>
        <v>4</v>
      </c>
      <c r="E85" s="59" t="str">
        <f>VLOOKUP(D85,$D$3:$H$18,2,0)</f>
        <v>Bloch Stefan</v>
      </c>
      <c r="F85" s="102"/>
      <c r="G85" s="103"/>
      <c r="H85" s="104"/>
      <c r="I85" s="271"/>
      <c r="J85" s="275"/>
      <c r="K85" s="105"/>
      <c r="L85" s="106"/>
      <c r="M85" s="340" t="s">
        <v>47</v>
      </c>
      <c r="N85" s="107"/>
    </row>
    <row r="86" spans="2:14" ht="18.75" thickBot="1">
      <c r="B86" s="336"/>
      <c r="C86" s="338"/>
      <c r="D86" s="339"/>
      <c r="E86" s="108" t="str">
        <f>VLOOKUP(D85,$D$3:$H$18,5,0)</f>
        <v>Deiner Michael</v>
      </c>
      <c r="F86" s="102"/>
      <c r="G86" s="109"/>
      <c r="H86" s="104"/>
      <c r="I86" s="272"/>
      <c r="J86" s="276"/>
      <c r="K86" s="110"/>
      <c r="L86" s="111"/>
      <c r="M86" s="341"/>
      <c r="N86" s="112"/>
    </row>
    <row r="87" spans="2:14" ht="18">
      <c r="B87" s="336">
        <v>2</v>
      </c>
      <c r="C87" s="337">
        <f>VLOOKUP(D82,Plan!$G$25:$N$32,8,0)</f>
        <v>8</v>
      </c>
      <c r="D87" s="339">
        <f>+Plan!$H$16</f>
        <v>1</v>
      </c>
      <c r="E87" s="59" t="str">
        <f>VLOOKUP(D87,$D$3:$H$18,2,0)</f>
        <v>Stucki Daryl</v>
      </c>
      <c r="F87" s="102"/>
      <c r="G87" s="103"/>
      <c r="H87" s="104"/>
      <c r="I87" s="271"/>
      <c r="J87" s="275"/>
      <c r="K87" s="105"/>
      <c r="L87" s="106"/>
      <c r="M87" s="340" t="s">
        <v>47</v>
      </c>
      <c r="N87" s="107"/>
    </row>
    <row r="88" spans="2:14" ht="18.75" thickBot="1">
      <c r="B88" s="336"/>
      <c r="C88" s="338"/>
      <c r="D88" s="339"/>
      <c r="E88" s="108" t="str">
        <f>VLOOKUP(D87,$D$3:$H$18,5,0)</f>
        <v>Haasper Kevin</v>
      </c>
      <c r="F88" s="102"/>
      <c r="G88" s="109"/>
      <c r="H88" s="104"/>
      <c r="I88" s="272"/>
      <c r="J88" s="276"/>
      <c r="K88" s="110"/>
      <c r="L88" s="111"/>
      <c r="M88" s="341"/>
      <c r="N88" s="112"/>
    </row>
    <row r="89" spans="2:14" ht="18">
      <c r="B89" s="336">
        <v>3</v>
      </c>
      <c r="C89" s="337">
        <f>VLOOKUP(D82,Plan!$H$25:$N$32,7,0)</f>
        <v>6</v>
      </c>
      <c r="D89" s="339">
        <f>+Plan!$H$17</f>
        <v>7</v>
      </c>
      <c r="E89" s="59" t="str">
        <f>VLOOKUP(D89,$D$3:$H$18,2,0)</f>
        <v>Meyer Samuel</v>
      </c>
      <c r="F89" s="102"/>
      <c r="G89" s="103"/>
      <c r="H89" s="104"/>
      <c r="I89" s="271"/>
      <c r="J89" s="275"/>
      <c r="K89" s="105"/>
      <c r="L89" s="106"/>
      <c r="M89" s="340" t="s">
        <v>47</v>
      </c>
      <c r="N89" s="107"/>
    </row>
    <row r="90" spans="2:14" ht="18.75" thickBot="1">
      <c r="B90" s="336"/>
      <c r="C90" s="338"/>
      <c r="D90" s="339"/>
      <c r="E90" s="108" t="str">
        <f>VLOOKUP(D89,$D$3:$H$18,5,0)</f>
        <v>Punsalan Dany</v>
      </c>
      <c r="F90" s="102"/>
      <c r="G90" s="109"/>
      <c r="H90" s="104"/>
      <c r="I90" s="272"/>
      <c r="J90" s="276"/>
      <c r="K90" s="110"/>
      <c r="L90" s="111"/>
      <c r="M90" s="341"/>
      <c r="N90" s="112"/>
    </row>
    <row r="91" spans="2:14" ht="18">
      <c r="B91" s="336">
        <v>4</v>
      </c>
      <c r="C91" s="337">
        <f>VLOOKUP(D82,Plan!$I$25:$N$32,6,0)</f>
        <v>1</v>
      </c>
      <c r="D91" s="339">
        <f>+Plan!$H$18</f>
        <v>6</v>
      </c>
      <c r="E91" s="59" t="str">
        <f>VLOOKUP(D91,$D$3:$H$18,2,0)</f>
        <v>Jauch Daniel </v>
      </c>
      <c r="F91" s="102"/>
      <c r="G91" s="103"/>
      <c r="H91" s="104"/>
      <c r="I91" s="271"/>
      <c r="J91" s="275"/>
      <c r="K91" s="105"/>
      <c r="L91" s="106"/>
      <c r="M91" s="340" t="s">
        <v>47</v>
      </c>
      <c r="N91" s="107"/>
    </row>
    <row r="92" spans="2:14" ht="18.75" thickBot="1">
      <c r="B92" s="336"/>
      <c r="C92" s="338"/>
      <c r="D92" s="339"/>
      <c r="E92" s="108" t="str">
        <f>VLOOKUP(D91,$D$3:$H$18,5,0)</f>
        <v>Hubacher Stefan </v>
      </c>
      <c r="F92" s="102"/>
      <c r="G92" s="109"/>
      <c r="H92" s="104"/>
      <c r="I92" s="272"/>
      <c r="J92" s="276"/>
      <c r="K92" s="110"/>
      <c r="L92" s="111"/>
      <c r="M92" s="341"/>
      <c r="N92" s="112"/>
    </row>
    <row r="93" spans="2:14" ht="18">
      <c r="B93" s="336">
        <v>5</v>
      </c>
      <c r="C93" s="337">
        <f>VLOOKUP(D82,Plan!$J$25:$N$32,5,0)</f>
        <v>5</v>
      </c>
      <c r="D93" s="339">
        <f>+Plan!$H$19</f>
        <v>8</v>
      </c>
      <c r="E93" s="59" t="str">
        <f>VLOOKUP(D93,$D$3:$H$18,2,0)</f>
        <v>Ancarani Mario</v>
      </c>
      <c r="F93" s="102"/>
      <c r="G93" s="103"/>
      <c r="H93" s="104"/>
      <c r="I93" s="271"/>
      <c r="J93" s="275"/>
      <c r="K93" s="105"/>
      <c r="L93" s="106"/>
      <c r="M93" s="340" t="s">
        <v>47</v>
      </c>
      <c r="N93" s="107"/>
    </row>
    <row r="94" spans="2:14" ht="18.75" thickBot="1">
      <c r="B94" s="336"/>
      <c r="C94" s="338"/>
      <c r="D94" s="339"/>
      <c r="E94" s="108" t="str">
        <f>VLOOKUP(D93,$D$3:$H$18,5,0)</f>
        <v>Fiorani Lucio</v>
      </c>
      <c r="F94" s="102"/>
      <c r="G94" s="109"/>
      <c r="H94" s="104"/>
      <c r="I94" s="272"/>
      <c r="J94" s="276"/>
      <c r="K94" s="110"/>
      <c r="L94" s="111"/>
      <c r="M94" s="341"/>
      <c r="N94" s="112"/>
    </row>
    <row r="95" spans="2:14" ht="18">
      <c r="B95" s="336">
        <v>6</v>
      </c>
      <c r="C95" s="337">
        <f>VLOOKUP(D82,Plan!$K$25:$N$32,4,0)</f>
        <v>2</v>
      </c>
      <c r="D95" s="339">
        <f>+Plan!$H$20</f>
        <v>2</v>
      </c>
      <c r="E95" s="59" t="str">
        <f>VLOOKUP(D95,$D$3:$H$18,2,0)</f>
        <v>Gnägi Kevin</v>
      </c>
      <c r="F95" s="102"/>
      <c r="G95" s="103"/>
      <c r="H95" s="104"/>
      <c r="I95" s="271"/>
      <c r="J95" s="275"/>
      <c r="K95" s="105"/>
      <c r="L95" s="106"/>
      <c r="M95" s="340" t="s">
        <v>47</v>
      </c>
      <c r="N95" s="107"/>
    </row>
    <row r="96" spans="2:14" ht="18.75" thickBot="1">
      <c r="B96" s="336"/>
      <c r="C96" s="338"/>
      <c r="D96" s="339"/>
      <c r="E96" s="108" t="str">
        <f>VLOOKUP(D95,$D$3:$H$18,5,0)</f>
        <v>Suter Martin</v>
      </c>
      <c r="F96" s="102"/>
      <c r="G96" s="109"/>
      <c r="H96" s="104"/>
      <c r="I96" s="272"/>
      <c r="J96" s="276"/>
      <c r="K96" s="110"/>
      <c r="L96" s="111"/>
      <c r="M96" s="341"/>
      <c r="N96" s="112"/>
    </row>
    <row r="97" spans="2:14" ht="18">
      <c r="B97" s="336">
        <v>7</v>
      </c>
      <c r="C97" s="337">
        <f>VLOOKUP(D82,Plan!$L$25:$N$32,3,0)</f>
        <v>7</v>
      </c>
      <c r="D97" s="339">
        <f>+Plan!$H$21</f>
        <v>5</v>
      </c>
      <c r="E97" s="59" t="str">
        <f>VLOOKUP(D97,$D$3:$H$18,2,0)</f>
        <v>Gede Mudana</v>
      </c>
      <c r="F97" s="102"/>
      <c r="G97" s="103"/>
      <c r="H97" s="104"/>
      <c r="I97" s="271"/>
      <c r="J97" s="275"/>
      <c r="K97" s="105"/>
      <c r="L97" s="106"/>
      <c r="M97" s="340" t="s">
        <v>47</v>
      </c>
      <c r="N97" s="107"/>
    </row>
    <row r="98" spans="2:14" ht="18.75" thickBot="1">
      <c r="B98" s="336"/>
      <c r="C98" s="338"/>
      <c r="D98" s="339"/>
      <c r="E98" s="108" t="str">
        <f>VLOOKUP(D97,$D$3:$H$18,5,0)</f>
        <v>Gede Suyasa</v>
      </c>
      <c r="F98" s="102"/>
      <c r="G98" s="109"/>
      <c r="H98" s="104"/>
      <c r="I98" s="272"/>
      <c r="J98" s="276"/>
      <c r="K98" s="110"/>
      <c r="L98" s="111"/>
      <c r="M98" s="341"/>
      <c r="N98" s="112"/>
    </row>
    <row r="99" spans="2:14" ht="12.75">
      <c r="B99" s="113"/>
      <c r="C99" s="114"/>
      <c r="D99" s="113"/>
      <c r="E99" s="115"/>
      <c r="F99" s="116"/>
      <c r="G99" s="117"/>
      <c r="H99" s="117"/>
      <c r="I99" s="117"/>
      <c r="J99" s="117"/>
      <c r="K99" s="117"/>
      <c r="L99" s="117"/>
      <c r="M99" s="117"/>
      <c r="N99" s="117"/>
    </row>
    <row r="100" spans="2:14" ht="20.25">
      <c r="B100" s="118"/>
      <c r="C100" s="119"/>
      <c r="D100" s="118"/>
      <c r="E100" s="119"/>
      <c r="F100" s="119"/>
      <c r="G100" s="120" t="s">
        <v>45</v>
      </c>
      <c r="H100" s="119"/>
      <c r="I100" s="121" t="s">
        <v>48</v>
      </c>
      <c r="J100" s="122"/>
      <c r="L100" s="123" t="s">
        <v>56</v>
      </c>
      <c r="M100" s="122"/>
      <c r="N100" s="122"/>
    </row>
    <row r="101" spans="2:14" ht="20.25">
      <c r="B101" s="118"/>
      <c r="C101" s="119"/>
      <c r="D101" s="118"/>
      <c r="E101" s="124"/>
      <c r="F101" s="119"/>
      <c r="G101" s="125"/>
      <c r="H101" s="119"/>
      <c r="I101" s="121" t="s">
        <v>49</v>
      </c>
      <c r="J101" s="122"/>
      <c r="L101" s="123" t="s">
        <v>57</v>
      </c>
      <c r="M101" s="122"/>
      <c r="N101" s="122"/>
    </row>
    <row r="102" spans="2:14" ht="20.25">
      <c r="B102" s="118"/>
      <c r="C102" s="119"/>
      <c r="D102" s="118"/>
      <c r="E102" s="124"/>
      <c r="F102" s="119"/>
      <c r="G102" s="125"/>
      <c r="H102" s="119"/>
      <c r="I102" s="121" t="s">
        <v>58</v>
      </c>
      <c r="J102" s="122"/>
      <c r="K102" s="123"/>
      <c r="L102" s="123" t="s">
        <v>59</v>
      </c>
      <c r="M102" s="122"/>
      <c r="N102" s="122"/>
    </row>
    <row r="103" spans="2:14" ht="20.25">
      <c r="B103" s="118"/>
      <c r="C103" s="119"/>
      <c r="D103" s="118"/>
      <c r="E103" s="124"/>
      <c r="F103" s="119"/>
      <c r="G103" s="125"/>
      <c r="H103" s="119"/>
      <c r="I103" s="121" t="s">
        <v>60</v>
      </c>
      <c r="J103" s="122"/>
      <c r="K103" s="123"/>
      <c r="L103" s="123" t="s">
        <v>61</v>
      </c>
      <c r="M103" s="122"/>
      <c r="N103" s="122"/>
    </row>
    <row r="104" spans="2:14" ht="12.75">
      <c r="B104" s="53"/>
      <c r="C104" s="58"/>
      <c r="D104" s="53"/>
      <c r="E104" s="126"/>
      <c r="F104" s="127"/>
      <c r="G104" s="71"/>
      <c r="H104" s="71"/>
      <c r="I104" s="71"/>
      <c r="J104" s="71"/>
      <c r="K104" s="71"/>
      <c r="L104" s="71"/>
      <c r="M104" s="71"/>
      <c r="N104" s="71"/>
    </row>
    <row r="105" spans="2:14" ht="37.5">
      <c r="B105" s="53"/>
      <c r="C105" s="58"/>
      <c r="D105" s="53"/>
      <c r="E105" s="72" t="s">
        <v>171</v>
      </c>
      <c r="F105" s="68"/>
      <c r="G105" s="73"/>
      <c r="H105" s="74"/>
      <c r="I105" s="75"/>
      <c r="J105" s="76"/>
      <c r="K105" s="77"/>
      <c r="L105" s="73"/>
      <c r="M105" s="73"/>
      <c r="N105" s="78"/>
    </row>
    <row r="106" spans="2:14" ht="26.25">
      <c r="B106" s="53"/>
      <c r="C106" s="54"/>
      <c r="D106" s="53"/>
      <c r="E106" s="79"/>
      <c r="F106" s="80"/>
      <c r="G106" s="81"/>
      <c r="H106" s="81"/>
      <c r="I106" s="81"/>
      <c r="J106" s="81"/>
      <c r="K106" s="81"/>
      <c r="L106" s="81"/>
      <c r="M106" s="81"/>
      <c r="N106" s="81"/>
    </row>
    <row r="107" spans="2:13" ht="26.25">
      <c r="B107" s="53"/>
      <c r="C107" s="54"/>
      <c r="D107" s="53"/>
      <c r="E107" s="82" t="s">
        <v>174</v>
      </c>
      <c r="F107" s="80"/>
      <c r="G107" s="81"/>
      <c r="H107" s="83" t="s">
        <v>20</v>
      </c>
      <c r="I107" s="81"/>
      <c r="J107" s="81"/>
      <c r="K107" s="81"/>
      <c r="L107" s="81"/>
      <c r="M107" s="81"/>
    </row>
    <row r="108" spans="2:14" ht="26.25">
      <c r="B108" s="53"/>
      <c r="C108" s="58"/>
      <c r="D108" s="53"/>
      <c r="E108" s="67"/>
      <c r="F108" s="68"/>
      <c r="G108" s="69"/>
      <c r="H108" s="70"/>
      <c r="I108" s="84"/>
      <c r="J108" s="76"/>
      <c r="K108" s="77"/>
      <c r="L108" s="73"/>
      <c r="M108" s="73"/>
      <c r="N108" s="78"/>
    </row>
    <row r="109" spans="2:14" ht="27" thickBot="1">
      <c r="B109" s="53"/>
      <c r="C109" s="58"/>
      <c r="D109" s="85" t="s">
        <v>38</v>
      </c>
      <c r="E109" s="86"/>
      <c r="F109" s="87" t="s">
        <v>39</v>
      </c>
      <c r="G109" s="88"/>
      <c r="H109" s="89"/>
      <c r="I109" s="84"/>
      <c r="J109" s="76"/>
      <c r="K109" s="77"/>
      <c r="L109" s="73"/>
      <c r="M109" s="73"/>
      <c r="N109" s="78"/>
    </row>
    <row r="110" spans="2:14" ht="18.75" thickBot="1">
      <c r="B110" s="90"/>
      <c r="C110" s="91"/>
      <c r="D110" s="335">
        <f>+D10</f>
        <v>4</v>
      </c>
      <c r="E110" s="59" t="str">
        <f>+E10</f>
        <v>Bloch Stefan</v>
      </c>
      <c r="F110" s="60">
        <f>+F10</f>
        <v>0</v>
      </c>
      <c r="G110" s="92"/>
      <c r="H110" s="92"/>
      <c r="I110" s="92"/>
      <c r="J110" s="92"/>
      <c r="K110" s="92"/>
      <c r="L110" s="92"/>
      <c r="M110" s="92"/>
      <c r="N110" s="92"/>
    </row>
    <row r="111" spans="2:13" ht="18.75" thickBot="1">
      <c r="B111" s="53"/>
      <c r="C111" s="58"/>
      <c r="D111" s="335"/>
      <c r="E111" s="93" t="str">
        <f>+E11</f>
        <v>Deiner Michael</v>
      </c>
      <c r="F111" s="94">
        <f>+F11</f>
        <v>1</v>
      </c>
      <c r="G111" s="95"/>
      <c r="H111" s="95"/>
      <c r="I111" s="96"/>
      <c r="J111" s="95"/>
      <c r="K111" s="95"/>
      <c r="L111" s="95"/>
      <c r="M111" s="95"/>
    </row>
    <row r="112" spans="2:13" ht="39" thickBot="1">
      <c r="B112" s="90" t="s">
        <v>41</v>
      </c>
      <c r="C112" s="90" t="s">
        <v>42</v>
      </c>
      <c r="D112" s="97" t="s">
        <v>38</v>
      </c>
      <c r="E112" s="98" t="s">
        <v>1</v>
      </c>
      <c r="F112" s="99"/>
      <c r="G112" s="96" t="s">
        <v>43</v>
      </c>
      <c r="H112" s="100"/>
      <c r="I112" s="101" t="s">
        <v>44</v>
      </c>
      <c r="J112" s="97" t="s">
        <v>83</v>
      </c>
      <c r="K112" s="101" t="s">
        <v>45</v>
      </c>
      <c r="L112" s="96" t="s">
        <v>46</v>
      </c>
      <c r="M112" s="95"/>
    </row>
    <row r="113" spans="2:14" ht="18">
      <c r="B113" s="336">
        <v>1</v>
      </c>
      <c r="C113" s="337">
        <f>VLOOKUP(D110,Plan!$F$25:$N$32,9,0)</f>
        <v>4</v>
      </c>
      <c r="D113" s="339">
        <f>+Plan!$I$15</f>
        <v>3</v>
      </c>
      <c r="E113" s="59" t="str">
        <f>VLOOKUP(D113,$D$3:$H$18,2,0)</f>
        <v>Ancarani Sandro</v>
      </c>
      <c r="F113" s="102"/>
      <c r="G113" s="103"/>
      <c r="H113" s="104"/>
      <c r="I113" s="271"/>
      <c r="J113" s="275"/>
      <c r="K113" s="105"/>
      <c r="L113" s="106"/>
      <c r="M113" s="340" t="s">
        <v>47</v>
      </c>
      <c r="N113" s="107"/>
    </row>
    <row r="114" spans="2:14" ht="18.75" thickBot="1">
      <c r="B114" s="336"/>
      <c r="C114" s="338"/>
      <c r="D114" s="339"/>
      <c r="E114" s="108" t="str">
        <f>VLOOKUP(D113,$D$3:$H$18,5,0)</f>
        <v>Thurston Roger</v>
      </c>
      <c r="F114" s="102"/>
      <c r="G114" s="109"/>
      <c r="H114" s="104"/>
      <c r="I114" s="272"/>
      <c r="J114" s="276"/>
      <c r="K114" s="110"/>
      <c r="L114" s="111"/>
      <c r="M114" s="341"/>
      <c r="N114" s="112"/>
    </row>
    <row r="115" spans="2:14" ht="18">
      <c r="B115" s="336">
        <v>2</v>
      </c>
      <c r="C115" s="337">
        <f>VLOOKUP(D110,Plan!$G$25:$N$32,8,0)</f>
        <v>6</v>
      </c>
      <c r="D115" s="339">
        <f>+Plan!$I$16</f>
        <v>2</v>
      </c>
      <c r="E115" s="59" t="str">
        <f>VLOOKUP(D115,$D$3:$H$18,2,0)</f>
        <v>Gnägi Kevin</v>
      </c>
      <c r="F115" s="102"/>
      <c r="G115" s="103"/>
      <c r="H115" s="104"/>
      <c r="I115" s="271"/>
      <c r="J115" s="275"/>
      <c r="K115" s="105"/>
      <c r="L115" s="106"/>
      <c r="M115" s="340" t="s">
        <v>47</v>
      </c>
      <c r="N115" s="107"/>
    </row>
    <row r="116" spans="2:14" ht="18.75" thickBot="1">
      <c r="B116" s="336"/>
      <c r="C116" s="338"/>
      <c r="D116" s="339"/>
      <c r="E116" s="108" t="str">
        <f>VLOOKUP(D115,$D$3:$H$18,5,0)</f>
        <v>Suter Martin</v>
      </c>
      <c r="F116" s="102"/>
      <c r="G116" s="109"/>
      <c r="H116" s="104"/>
      <c r="I116" s="272"/>
      <c r="J116" s="276"/>
      <c r="K116" s="110"/>
      <c r="L116" s="111"/>
      <c r="M116" s="341"/>
      <c r="N116" s="112"/>
    </row>
    <row r="117" spans="2:14" ht="18">
      <c r="B117" s="336">
        <v>3</v>
      </c>
      <c r="C117" s="337">
        <f>VLOOKUP(D110,Plan!$H$25:$N$32,7,0)</f>
        <v>2</v>
      </c>
      <c r="D117" s="339">
        <f>+Plan!$I$17</f>
        <v>5</v>
      </c>
      <c r="E117" s="59" t="str">
        <f>VLOOKUP(D117,$D$3:$H$18,2,0)</f>
        <v>Gede Mudana</v>
      </c>
      <c r="F117" s="102"/>
      <c r="G117" s="103"/>
      <c r="H117" s="104"/>
      <c r="I117" s="271"/>
      <c r="J117" s="275"/>
      <c r="K117" s="105"/>
      <c r="L117" s="106"/>
      <c r="M117" s="340" t="s">
        <v>47</v>
      </c>
      <c r="N117" s="107"/>
    </row>
    <row r="118" spans="2:14" ht="18.75" thickBot="1">
      <c r="B118" s="336"/>
      <c r="C118" s="338"/>
      <c r="D118" s="339"/>
      <c r="E118" s="108" t="str">
        <f>VLOOKUP(D117,$D$3:$H$18,5,0)</f>
        <v>Gede Suyasa</v>
      </c>
      <c r="F118" s="102"/>
      <c r="G118" s="109"/>
      <c r="H118" s="104"/>
      <c r="I118" s="272"/>
      <c r="J118" s="276"/>
      <c r="K118" s="110"/>
      <c r="L118" s="111"/>
      <c r="M118" s="341"/>
      <c r="N118" s="112"/>
    </row>
    <row r="119" spans="2:14" ht="18">
      <c r="B119" s="336">
        <v>4</v>
      </c>
      <c r="C119" s="337">
        <f>VLOOKUP(D110,Plan!$I$25:$N$32,6,0)</f>
        <v>8</v>
      </c>
      <c r="D119" s="339">
        <f>+Plan!$I$18</f>
        <v>8</v>
      </c>
      <c r="E119" s="59" t="str">
        <f>VLOOKUP(D119,$D$3:$H$18,2,0)</f>
        <v>Ancarani Mario</v>
      </c>
      <c r="F119" s="102"/>
      <c r="G119" s="103"/>
      <c r="H119" s="104"/>
      <c r="I119" s="271"/>
      <c r="J119" s="275"/>
      <c r="K119" s="105"/>
      <c r="L119" s="106"/>
      <c r="M119" s="340" t="s">
        <v>47</v>
      </c>
      <c r="N119" s="107"/>
    </row>
    <row r="120" spans="2:14" ht="18.75" thickBot="1">
      <c r="B120" s="336"/>
      <c r="C120" s="338"/>
      <c r="D120" s="339"/>
      <c r="E120" s="108" t="str">
        <f>VLOOKUP(D119,$D$3:$H$18,5,0)</f>
        <v>Fiorani Lucio</v>
      </c>
      <c r="F120" s="102"/>
      <c r="G120" s="109"/>
      <c r="H120" s="104"/>
      <c r="I120" s="272"/>
      <c r="J120" s="276"/>
      <c r="K120" s="110"/>
      <c r="L120" s="111"/>
      <c r="M120" s="341"/>
      <c r="N120" s="112"/>
    </row>
    <row r="121" spans="2:14" ht="18">
      <c r="B121" s="336">
        <v>5</v>
      </c>
      <c r="C121" s="337">
        <f>VLOOKUP(D110,Plan!$J$25:$N$32,5,0)</f>
        <v>3</v>
      </c>
      <c r="D121" s="339">
        <f>+Plan!$I$19</f>
        <v>6</v>
      </c>
      <c r="E121" s="59" t="str">
        <f>VLOOKUP(D121,$D$3:$H$18,2,0)</f>
        <v>Jauch Daniel </v>
      </c>
      <c r="F121" s="102"/>
      <c r="G121" s="103"/>
      <c r="H121" s="104"/>
      <c r="I121" s="271"/>
      <c r="J121" s="275"/>
      <c r="K121" s="105"/>
      <c r="L121" s="106"/>
      <c r="M121" s="340" t="s">
        <v>47</v>
      </c>
      <c r="N121" s="107"/>
    </row>
    <row r="122" spans="2:14" ht="18.75" thickBot="1">
      <c r="B122" s="336"/>
      <c r="C122" s="338"/>
      <c r="D122" s="339"/>
      <c r="E122" s="108" t="str">
        <f>VLOOKUP(D121,$D$3:$H$18,5,0)</f>
        <v>Hubacher Stefan </v>
      </c>
      <c r="F122" s="102"/>
      <c r="G122" s="109"/>
      <c r="H122" s="104"/>
      <c r="I122" s="272"/>
      <c r="J122" s="276"/>
      <c r="K122" s="110"/>
      <c r="L122" s="111"/>
      <c r="M122" s="341"/>
      <c r="N122" s="112"/>
    </row>
    <row r="123" spans="2:14" ht="18">
      <c r="B123" s="336">
        <v>6</v>
      </c>
      <c r="C123" s="337">
        <f>VLOOKUP(D110,Plan!$K$25:$N$32,4,0)</f>
        <v>5</v>
      </c>
      <c r="D123" s="339">
        <f>+Plan!$I$20</f>
        <v>1</v>
      </c>
      <c r="E123" s="59" t="str">
        <f>VLOOKUP(D123,$D$3:$H$18,2,0)</f>
        <v>Stucki Daryl</v>
      </c>
      <c r="F123" s="102"/>
      <c r="G123" s="103"/>
      <c r="H123" s="104"/>
      <c r="I123" s="271"/>
      <c r="J123" s="275"/>
      <c r="K123" s="105"/>
      <c r="L123" s="106"/>
      <c r="M123" s="340" t="s">
        <v>47</v>
      </c>
      <c r="N123" s="107"/>
    </row>
    <row r="124" spans="2:14" ht="18.75" thickBot="1">
      <c r="B124" s="336"/>
      <c r="C124" s="338"/>
      <c r="D124" s="339"/>
      <c r="E124" s="108" t="str">
        <f>VLOOKUP(D123,$D$3:$H$18,5,0)</f>
        <v>Haasper Kevin</v>
      </c>
      <c r="F124" s="102"/>
      <c r="G124" s="109"/>
      <c r="H124" s="104"/>
      <c r="I124" s="272"/>
      <c r="J124" s="276"/>
      <c r="K124" s="110"/>
      <c r="L124" s="111"/>
      <c r="M124" s="341"/>
      <c r="N124" s="112"/>
    </row>
    <row r="125" spans="2:14" ht="18">
      <c r="B125" s="336">
        <v>7</v>
      </c>
      <c r="C125" s="337">
        <f>VLOOKUP(D110,Plan!$L$25:$N$32,3,0)</f>
        <v>1</v>
      </c>
      <c r="D125" s="339">
        <f>+Plan!$I$21</f>
        <v>7</v>
      </c>
      <c r="E125" s="59" t="str">
        <f>VLOOKUP(D125,$D$3:$H$18,2,0)</f>
        <v>Meyer Samuel</v>
      </c>
      <c r="F125" s="102"/>
      <c r="G125" s="103"/>
      <c r="H125" s="104"/>
      <c r="I125" s="271"/>
      <c r="J125" s="275"/>
      <c r="K125" s="105"/>
      <c r="L125" s="106"/>
      <c r="M125" s="340" t="s">
        <v>47</v>
      </c>
      <c r="N125" s="107"/>
    </row>
    <row r="126" spans="2:14" ht="18.75" thickBot="1">
      <c r="B126" s="336"/>
      <c r="C126" s="338"/>
      <c r="D126" s="339"/>
      <c r="E126" s="108" t="str">
        <f>VLOOKUP(D125,$D$3:$H$18,5,0)</f>
        <v>Punsalan Dany</v>
      </c>
      <c r="F126" s="102"/>
      <c r="G126" s="109"/>
      <c r="H126" s="104"/>
      <c r="I126" s="272"/>
      <c r="J126" s="276"/>
      <c r="K126" s="110"/>
      <c r="L126" s="111"/>
      <c r="M126" s="341"/>
      <c r="N126" s="112"/>
    </row>
    <row r="127" spans="2:14" ht="12.75">
      <c r="B127" s="113"/>
      <c r="C127" s="114"/>
      <c r="D127" s="113"/>
      <c r="E127" s="115"/>
      <c r="F127" s="116"/>
      <c r="G127" s="117"/>
      <c r="H127" s="117"/>
      <c r="I127" s="117"/>
      <c r="J127" s="117"/>
      <c r="K127" s="117"/>
      <c r="L127" s="117"/>
      <c r="M127" s="117"/>
      <c r="N127" s="117"/>
    </row>
    <row r="128" spans="2:14" ht="20.25">
      <c r="B128" s="118"/>
      <c r="C128" s="119"/>
      <c r="D128" s="118"/>
      <c r="E128" s="119"/>
      <c r="F128" s="119"/>
      <c r="G128" s="120" t="s">
        <v>45</v>
      </c>
      <c r="H128" s="119"/>
      <c r="I128" s="121" t="s">
        <v>48</v>
      </c>
      <c r="J128" s="122"/>
      <c r="L128" s="123" t="s">
        <v>56</v>
      </c>
      <c r="M128" s="122"/>
      <c r="N128" s="122"/>
    </row>
    <row r="129" spans="2:14" ht="20.25">
      <c r="B129" s="118"/>
      <c r="C129" s="119"/>
      <c r="D129" s="118"/>
      <c r="E129" s="124"/>
      <c r="F129" s="119"/>
      <c r="G129" s="125"/>
      <c r="H129" s="119"/>
      <c r="I129" s="121" t="s">
        <v>49</v>
      </c>
      <c r="J129" s="122"/>
      <c r="L129" s="123" t="s">
        <v>57</v>
      </c>
      <c r="M129" s="122"/>
      <c r="N129" s="122"/>
    </row>
    <row r="130" spans="2:14" ht="20.25">
      <c r="B130" s="118"/>
      <c r="C130" s="119"/>
      <c r="D130" s="118"/>
      <c r="E130" s="124"/>
      <c r="F130" s="119"/>
      <c r="G130" s="125"/>
      <c r="H130" s="119"/>
      <c r="I130" s="121" t="s">
        <v>58</v>
      </c>
      <c r="J130" s="122"/>
      <c r="K130" s="123"/>
      <c r="L130" s="123" t="s">
        <v>59</v>
      </c>
      <c r="M130" s="122"/>
      <c r="N130" s="122"/>
    </row>
    <row r="131" spans="2:14" ht="20.25">
      <c r="B131" s="118"/>
      <c r="C131" s="119"/>
      <c r="D131" s="118"/>
      <c r="E131" s="124"/>
      <c r="F131" s="119"/>
      <c r="G131" s="125"/>
      <c r="H131" s="119"/>
      <c r="I131" s="121" t="s">
        <v>60</v>
      </c>
      <c r="J131" s="122"/>
      <c r="K131" s="123"/>
      <c r="L131" s="123" t="s">
        <v>61</v>
      </c>
      <c r="M131" s="122"/>
      <c r="N131" s="122"/>
    </row>
    <row r="132" spans="2:14" ht="12.75">
      <c r="B132" s="53"/>
      <c r="C132" s="58"/>
      <c r="D132" s="53"/>
      <c r="E132" s="126"/>
      <c r="F132" s="127"/>
      <c r="G132" s="71"/>
      <c r="H132" s="71"/>
      <c r="I132" s="71"/>
      <c r="J132" s="71"/>
      <c r="K132" s="71"/>
      <c r="L132" s="71"/>
      <c r="M132" s="71"/>
      <c r="N132" s="71"/>
    </row>
    <row r="133" spans="2:14" ht="37.5">
      <c r="B133" s="53"/>
      <c r="C133" s="58"/>
      <c r="D133" s="53"/>
      <c r="E133" s="72" t="s">
        <v>171</v>
      </c>
      <c r="F133" s="68"/>
      <c r="G133" s="73"/>
      <c r="H133" s="74"/>
      <c r="I133" s="75"/>
      <c r="J133" s="76"/>
      <c r="K133" s="77"/>
      <c r="L133" s="73"/>
      <c r="M133" s="73"/>
      <c r="N133" s="78"/>
    </row>
    <row r="134" spans="2:14" ht="26.25">
      <c r="B134" s="53"/>
      <c r="C134" s="54"/>
      <c r="D134" s="53"/>
      <c r="E134" s="79"/>
      <c r="F134" s="80"/>
      <c r="G134" s="81"/>
      <c r="H134" s="81"/>
      <c r="I134" s="81"/>
      <c r="J134" s="81"/>
      <c r="K134" s="81"/>
      <c r="L134" s="81"/>
      <c r="M134" s="81"/>
      <c r="N134" s="81"/>
    </row>
    <row r="135" spans="2:13" ht="26.25">
      <c r="B135" s="53"/>
      <c r="C135" s="54"/>
      <c r="D135" s="53"/>
      <c r="E135" s="82" t="s">
        <v>174</v>
      </c>
      <c r="F135" s="80"/>
      <c r="G135" s="81"/>
      <c r="H135" s="83" t="s">
        <v>20</v>
      </c>
      <c r="I135" s="81"/>
      <c r="J135" s="81"/>
      <c r="K135" s="81"/>
      <c r="L135" s="81"/>
      <c r="M135" s="81"/>
    </row>
    <row r="136" spans="2:14" ht="26.25">
      <c r="B136" s="53"/>
      <c r="C136" s="58"/>
      <c r="D136" s="53"/>
      <c r="E136" s="67"/>
      <c r="F136" s="68"/>
      <c r="G136" s="69"/>
      <c r="H136" s="70"/>
      <c r="I136" s="84"/>
      <c r="J136" s="76"/>
      <c r="K136" s="77"/>
      <c r="L136" s="73"/>
      <c r="M136" s="73"/>
      <c r="N136" s="78"/>
    </row>
    <row r="137" spans="2:14" ht="27" thickBot="1">
      <c r="B137" s="53"/>
      <c r="C137" s="58"/>
      <c r="D137" s="85" t="s">
        <v>38</v>
      </c>
      <c r="E137" s="86"/>
      <c r="F137" s="87" t="s">
        <v>39</v>
      </c>
      <c r="G137" s="88"/>
      <c r="H137" s="89"/>
      <c r="I137" s="84"/>
      <c r="J137" s="76"/>
      <c r="K137" s="77"/>
      <c r="L137" s="73"/>
      <c r="M137" s="73"/>
      <c r="N137" s="78"/>
    </row>
    <row r="138" spans="2:14" ht="18.75" thickBot="1">
      <c r="B138" s="90"/>
      <c r="C138" s="91"/>
      <c r="D138" s="335">
        <f>+D12</f>
        <v>5</v>
      </c>
      <c r="E138" s="59" t="str">
        <f>+E12</f>
        <v>Gede Mudana</v>
      </c>
      <c r="F138" s="60">
        <f>+F12</f>
        <v>13</v>
      </c>
      <c r="G138" s="92"/>
      <c r="H138" s="92"/>
      <c r="I138" s="92"/>
      <c r="J138" s="92"/>
      <c r="K138" s="92"/>
      <c r="L138" s="92"/>
      <c r="M138" s="92"/>
      <c r="N138" s="92"/>
    </row>
    <row r="139" spans="2:13" ht="18.75" thickBot="1">
      <c r="B139" s="53"/>
      <c r="C139" s="58"/>
      <c r="D139" s="335"/>
      <c r="E139" s="93" t="str">
        <f>+E13</f>
        <v>Gede Suyasa</v>
      </c>
      <c r="F139" s="94">
        <f>+F13</f>
        <v>10</v>
      </c>
      <c r="G139" s="95"/>
      <c r="H139" s="95"/>
      <c r="I139" s="96"/>
      <c r="J139" s="95"/>
      <c r="K139" s="95"/>
      <c r="L139" s="95"/>
      <c r="M139" s="95"/>
    </row>
    <row r="140" spans="2:13" ht="39" thickBot="1">
      <c r="B140" s="90" t="s">
        <v>41</v>
      </c>
      <c r="C140" s="90" t="s">
        <v>42</v>
      </c>
      <c r="D140" s="97" t="s">
        <v>38</v>
      </c>
      <c r="E140" s="98" t="s">
        <v>1</v>
      </c>
      <c r="F140" s="99"/>
      <c r="G140" s="96" t="s">
        <v>43</v>
      </c>
      <c r="H140" s="100"/>
      <c r="I140" s="101" t="s">
        <v>44</v>
      </c>
      <c r="J140" s="97" t="s">
        <v>83</v>
      </c>
      <c r="K140" s="101" t="s">
        <v>45</v>
      </c>
      <c r="L140" s="96" t="s">
        <v>46</v>
      </c>
      <c r="M140" s="95"/>
    </row>
    <row r="141" spans="2:14" ht="18">
      <c r="B141" s="336">
        <v>1</v>
      </c>
      <c r="C141" s="337">
        <f>VLOOKUP(D138,Plan!$F$25:$N$32,9,0)</f>
        <v>5</v>
      </c>
      <c r="D141" s="339">
        <f>+Plan!$J$15</f>
        <v>6</v>
      </c>
      <c r="E141" s="59" t="str">
        <f>VLOOKUP(D141,$D$3:$H$18,2,0)</f>
        <v>Jauch Daniel </v>
      </c>
      <c r="F141" s="102"/>
      <c r="G141" s="103"/>
      <c r="H141" s="104"/>
      <c r="I141" s="271"/>
      <c r="J141" s="275"/>
      <c r="K141" s="105"/>
      <c r="L141" s="106"/>
      <c r="M141" s="340" t="s">
        <v>47</v>
      </c>
      <c r="N141" s="107"/>
    </row>
    <row r="142" spans="2:14" ht="18.75" thickBot="1">
      <c r="B142" s="336"/>
      <c r="C142" s="338"/>
      <c r="D142" s="339"/>
      <c r="E142" s="108" t="str">
        <f>VLOOKUP(D141,$D$3:$H$18,5,0)</f>
        <v>Hubacher Stefan </v>
      </c>
      <c r="F142" s="102"/>
      <c r="G142" s="109"/>
      <c r="H142" s="104"/>
      <c r="I142" s="272"/>
      <c r="J142" s="276"/>
      <c r="K142" s="110"/>
      <c r="L142" s="111"/>
      <c r="M142" s="341"/>
      <c r="N142" s="112"/>
    </row>
    <row r="143" spans="2:14" ht="18">
      <c r="B143" s="336">
        <v>2</v>
      </c>
      <c r="C143" s="337">
        <f>VLOOKUP(D138,Plan!$G$25:$N$32,8,0)</f>
        <v>3</v>
      </c>
      <c r="D143" s="339">
        <f>+Plan!$J$16</f>
        <v>7</v>
      </c>
      <c r="E143" s="59" t="str">
        <f>VLOOKUP(D143,$D$3:$H$18,2,0)</f>
        <v>Meyer Samuel</v>
      </c>
      <c r="F143" s="102"/>
      <c r="G143" s="103"/>
      <c r="H143" s="104"/>
      <c r="I143" s="271"/>
      <c r="J143" s="275"/>
      <c r="K143" s="105"/>
      <c r="L143" s="106"/>
      <c r="M143" s="340" t="s">
        <v>47</v>
      </c>
      <c r="N143" s="107"/>
    </row>
    <row r="144" spans="2:14" ht="18.75" thickBot="1">
      <c r="B144" s="336"/>
      <c r="C144" s="338"/>
      <c r="D144" s="339"/>
      <c r="E144" s="108" t="str">
        <f>VLOOKUP(D143,$D$3:$H$18,5,0)</f>
        <v>Punsalan Dany</v>
      </c>
      <c r="F144" s="102"/>
      <c r="G144" s="109"/>
      <c r="H144" s="104"/>
      <c r="I144" s="272"/>
      <c r="J144" s="276"/>
      <c r="K144" s="110"/>
      <c r="L144" s="111"/>
      <c r="M144" s="341"/>
      <c r="N144" s="112"/>
    </row>
    <row r="145" spans="2:14" ht="18">
      <c r="B145" s="336">
        <v>3</v>
      </c>
      <c r="C145" s="337">
        <f>VLOOKUP(D138,Plan!$H$25:$N$32,7,0)</f>
        <v>1</v>
      </c>
      <c r="D145" s="339">
        <f>+Plan!$J$17</f>
        <v>4</v>
      </c>
      <c r="E145" s="59" t="str">
        <f>VLOOKUP(D145,$D$3:$H$18,2,0)</f>
        <v>Bloch Stefan</v>
      </c>
      <c r="F145" s="102"/>
      <c r="G145" s="103"/>
      <c r="H145" s="104"/>
      <c r="I145" s="271"/>
      <c r="J145" s="275"/>
      <c r="K145" s="105"/>
      <c r="L145" s="106"/>
      <c r="M145" s="340" t="s">
        <v>47</v>
      </c>
      <c r="N145" s="107"/>
    </row>
    <row r="146" spans="2:14" ht="18.75" thickBot="1">
      <c r="B146" s="336"/>
      <c r="C146" s="338"/>
      <c r="D146" s="339"/>
      <c r="E146" s="108" t="str">
        <f>VLOOKUP(D145,$D$3:$H$18,5,0)</f>
        <v>Deiner Michael</v>
      </c>
      <c r="F146" s="102"/>
      <c r="G146" s="109"/>
      <c r="H146" s="104"/>
      <c r="I146" s="272"/>
      <c r="J146" s="276"/>
      <c r="K146" s="110"/>
      <c r="L146" s="111"/>
      <c r="M146" s="341"/>
      <c r="N146" s="112"/>
    </row>
    <row r="147" spans="2:14" ht="18">
      <c r="B147" s="336">
        <v>4</v>
      </c>
      <c r="C147" s="337">
        <f>VLOOKUP(D138,Plan!$I$25:$N$32,6,0)</f>
        <v>6</v>
      </c>
      <c r="D147" s="339">
        <f>+Plan!$J$18</f>
        <v>1</v>
      </c>
      <c r="E147" s="59" t="str">
        <f>VLOOKUP(D147,$D$3:$H$18,2,0)</f>
        <v>Stucki Daryl</v>
      </c>
      <c r="F147" s="102"/>
      <c r="G147" s="103"/>
      <c r="H147" s="104"/>
      <c r="I147" s="271"/>
      <c r="J147" s="275"/>
      <c r="K147" s="105"/>
      <c r="L147" s="106"/>
      <c r="M147" s="340" t="s">
        <v>47</v>
      </c>
      <c r="N147" s="107"/>
    </row>
    <row r="148" spans="2:14" ht="18.75" thickBot="1">
      <c r="B148" s="336"/>
      <c r="C148" s="338"/>
      <c r="D148" s="339"/>
      <c r="E148" s="108" t="str">
        <f>VLOOKUP(D147,$D$3:$H$18,5,0)</f>
        <v>Haasper Kevin</v>
      </c>
      <c r="F148" s="102"/>
      <c r="G148" s="109"/>
      <c r="H148" s="104"/>
      <c r="I148" s="272"/>
      <c r="J148" s="276"/>
      <c r="K148" s="110"/>
      <c r="L148" s="111"/>
      <c r="M148" s="341"/>
      <c r="N148" s="112"/>
    </row>
    <row r="149" spans="2:14" ht="18">
      <c r="B149" s="336">
        <v>5</v>
      </c>
      <c r="C149" s="337">
        <f>VLOOKUP(D138,Plan!$J$25:$N$32,5,0)</f>
        <v>7</v>
      </c>
      <c r="D149" s="339">
        <f>+Plan!$J$19</f>
        <v>2</v>
      </c>
      <c r="E149" s="59" t="str">
        <f>VLOOKUP(D149,$D$3:$H$18,2,0)</f>
        <v>Gnägi Kevin</v>
      </c>
      <c r="F149" s="102"/>
      <c r="G149" s="103"/>
      <c r="H149" s="104"/>
      <c r="I149" s="271"/>
      <c r="J149" s="275"/>
      <c r="K149" s="105"/>
      <c r="L149" s="106"/>
      <c r="M149" s="340" t="s">
        <v>47</v>
      </c>
      <c r="N149" s="107"/>
    </row>
    <row r="150" spans="2:14" ht="18.75" thickBot="1">
      <c r="B150" s="336"/>
      <c r="C150" s="338"/>
      <c r="D150" s="339"/>
      <c r="E150" s="108" t="str">
        <f>VLOOKUP(D149,$D$3:$H$18,5,0)</f>
        <v>Suter Martin</v>
      </c>
      <c r="F150" s="102"/>
      <c r="G150" s="109"/>
      <c r="H150" s="104"/>
      <c r="I150" s="272"/>
      <c r="J150" s="276"/>
      <c r="K150" s="110"/>
      <c r="L150" s="111"/>
      <c r="M150" s="341"/>
      <c r="N150" s="112"/>
    </row>
    <row r="151" spans="2:14" ht="18">
      <c r="B151" s="336">
        <v>6</v>
      </c>
      <c r="C151" s="337">
        <f>VLOOKUP(D138,Plan!$K$25:$N$32,4,0)</f>
        <v>4</v>
      </c>
      <c r="D151" s="339">
        <f>+Plan!$J$20</f>
        <v>8</v>
      </c>
      <c r="E151" s="59" t="str">
        <f>VLOOKUP(D151,$D$3:$H$18,2,0)</f>
        <v>Ancarani Mario</v>
      </c>
      <c r="F151" s="102"/>
      <c r="G151" s="103"/>
      <c r="H151" s="104"/>
      <c r="I151" s="271"/>
      <c r="J151" s="275"/>
      <c r="K151" s="105"/>
      <c r="L151" s="106"/>
      <c r="M151" s="340" t="s">
        <v>47</v>
      </c>
      <c r="N151" s="107"/>
    </row>
    <row r="152" spans="2:14" ht="18.75" thickBot="1">
      <c r="B152" s="336"/>
      <c r="C152" s="338"/>
      <c r="D152" s="339"/>
      <c r="E152" s="108" t="str">
        <f>VLOOKUP(D151,$D$3:$H$18,5,0)</f>
        <v>Fiorani Lucio</v>
      </c>
      <c r="F152" s="102"/>
      <c r="G152" s="109"/>
      <c r="H152" s="104"/>
      <c r="I152" s="272"/>
      <c r="J152" s="276"/>
      <c r="K152" s="110"/>
      <c r="L152" s="111"/>
      <c r="M152" s="341"/>
      <c r="N152" s="112"/>
    </row>
    <row r="153" spans="2:14" ht="18">
      <c r="B153" s="336">
        <v>7</v>
      </c>
      <c r="C153" s="337">
        <f>VLOOKUP(D138,Plan!$L$25:$N$32,3,0)</f>
        <v>8</v>
      </c>
      <c r="D153" s="339">
        <f>+Plan!$J$21</f>
        <v>3</v>
      </c>
      <c r="E153" s="59" t="str">
        <f>VLOOKUP(D153,$D$3:$H$18,2,0)</f>
        <v>Ancarani Sandro</v>
      </c>
      <c r="F153" s="102"/>
      <c r="G153" s="103"/>
      <c r="H153" s="104"/>
      <c r="I153" s="271"/>
      <c r="J153" s="275"/>
      <c r="K153" s="105"/>
      <c r="L153" s="106"/>
      <c r="M153" s="340" t="s">
        <v>47</v>
      </c>
      <c r="N153" s="107"/>
    </row>
    <row r="154" spans="2:14" ht="18.75" thickBot="1">
      <c r="B154" s="336"/>
      <c r="C154" s="338"/>
      <c r="D154" s="339"/>
      <c r="E154" s="108" t="str">
        <f>VLOOKUP(D153,$D$3:$H$18,5,0)</f>
        <v>Thurston Roger</v>
      </c>
      <c r="F154" s="102"/>
      <c r="G154" s="109"/>
      <c r="H154" s="104"/>
      <c r="I154" s="272"/>
      <c r="J154" s="276"/>
      <c r="K154" s="110"/>
      <c r="L154" s="111"/>
      <c r="M154" s="341"/>
      <c r="N154" s="112"/>
    </row>
    <row r="155" spans="2:14" ht="12.75">
      <c r="B155" s="113"/>
      <c r="C155" s="114"/>
      <c r="D155" s="113"/>
      <c r="E155" s="115"/>
      <c r="F155" s="116"/>
      <c r="G155" s="117"/>
      <c r="H155" s="117"/>
      <c r="I155" s="117"/>
      <c r="J155" s="117"/>
      <c r="K155" s="117"/>
      <c r="L155" s="117"/>
      <c r="M155" s="117"/>
      <c r="N155" s="117"/>
    </row>
    <row r="156" spans="2:14" ht="20.25">
      <c r="B156" s="118"/>
      <c r="C156" s="119"/>
      <c r="D156" s="118"/>
      <c r="E156" s="119"/>
      <c r="F156" s="119"/>
      <c r="G156" s="120" t="s">
        <v>45</v>
      </c>
      <c r="H156" s="119"/>
      <c r="I156" s="121" t="s">
        <v>48</v>
      </c>
      <c r="J156" s="122"/>
      <c r="L156" s="123" t="s">
        <v>56</v>
      </c>
      <c r="M156" s="122"/>
      <c r="N156" s="122"/>
    </row>
    <row r="157" spans="2:14" ht="20.25">
      <c r="B157" s="118"/>
      <c r="C157" s="119"/>
      <c r="D157" s="118"/>
      <c r="E157" s="124"/>
      <c r="F157" s="119"/>
      <c r="G157" s="125"/>
      <c r="H157" s="119"/>
      <c r="I157" s="121" t="s">
        <v>49</v>
      </c>
      <c r="J157" s="122"/>
      <c r="L157" s="123" t="s">
        <v>57</v>
      </c>
      <c r="M157" s="122"/>
      <c r="N157" s="122"/>
    </row>
    <row r="158" spans="2:14" ht="20.25">
      <c r="B158" s="118"/>
      <c r="C158" s="119"/>
      <c r="D158" s="118"/>
      <c r="E158" s="124"/>
      <c r="F158" s="119"/>
      <c r="G158" s="125"/>
      <c r="H158" s="119"/>
      <c r="I158" s="121" t="s">
        <v>58</v>
      </c>
      <c r="J158" s="122"/>
      <c r="K158" s="123"/>
      <c r="L158" s="123" t="s">
        <v>59</v>
      </c>
      <c r="M158" s="122"/>
      <c r="N158" s="122"/>
    </row>
    <row r="159" spans="2:14" ht="20.25">
      <c r="B159" s="118"/>
      <c r="C159" s="119"/>
      <c r="D159" s="118"/>
      <c r="E159" s="124"/>
      <c r="F159" s="119"/>
      <c r="G159" s="125"/>
      <c r="H159" s="119"/>
      <c r="I159" s="121" t="s">
        <v>60</v>
      </c>
      <c r="J159" s="122"/>
      <c r="K159" s="123"/>
      <c r="L159" s="123" t="s">
        <v>61</v>
      </c>
      <c r="M159" s="122"/>
      <c r="N159" s="122"/>
    </row>
    <row r="160" spans="2:14" ht="12.75">
      <c r="B160" s="53"/>
      <c r="C160" s="58"/>
      <c r="D160" s="53"/>
      <c r="E160" s="126"/>
      <c r="F160" s="127"/>
      <c r="G160" s="71"/>
      <c r="H160" s="71"/>
      <c r="I160" s="71"/>
      <c r="J160" s="71"/>
      <c r="K160" s="71"/>
      <c r="L160" s="71"/>
      <c r="M160" s="71"/>
      <c r="N160" s="71"/>
    </row>
    <row r="161" spans="2:14" ht="37.5">
      <c r="B161" s="53"/>
      <c r="C161" s="58"/>
      <c r="D161" s="53"/>
      <c r="E161" s="72" t="s">
        <v>171</v>
      </c>
      <c r="F161" s="68"/>
      <c r="G161" s="73"/>
      <c r="H161" s="74"/>
      <c r="I161" s="75"/>
      <c r="J161" s="76"/>
      <c r="K161" s="77"/>
      <c r="L161" s="73"/>
      <c r="M161" s="73"/>
      <c r="N161" s="78"/>
    </row>
    <row r="162" spans="2:14" ht="26.25">
      <c r="B162" s="53"/>
      <c r="C162" s="54"/>
      <c r="D162" s="53"/>
      <c r="E162" s="79"/>
      <c r="F162" s="80"/>
      <c r="G162" s="81"/>
      <c r="H162" s="81"/>
      <c r="I162" s="81"/>
      <c r="J162" s="81"/>
      <c r="K162" s="81"/>
      <c r="L162" s="81"/>
      <c r="M162" s="81"/>
      <c r="N162" s="81"/>
    </row>
    <row r="163" spans="2:13" ht="26.25">
      <c r="B163" s="53"/>
      <c r="C163" s="54"/>
      <c r="D163" s="53"/>
      <c r="E163" s="82" t="s">
        <v>174</v>
      </c>
      <c r="F163" s="80"/>
      <c r="G163" s="81"/>
      <c r="H163" s="83" t="s">
        <v>20</v>
      </c>
      <c r="I163" s="81"/>
      <c r="J163" s="81"/>
      <c r="K163" s="81"/>
      <c r="L163" s="81"/>
      <c r="M163" s="81"/>
    </row>
    <row r="164" spans="2:14" ht="26.25">
      <c r="B164" s="53"/>
      <c r="C164" s="58"/>
      <c r="D164" s="53"/>
      <c r="E164" s="67"/>
      <c r="F164" s="68"/>
      <c r="G164" s="69"/>
      <c r="H164" s="70"/>
      <c r="I164" s="84"/>
      <c r="J164" s="76"/>
      <c r="K164" s="77"/>
      <c r="L164" s="73"/>
      <c r="M164" s="73"/>
      <c r="N164" s="78"/>
    </row>
    <row r="165" spans="2:14" ht="27" thickBot="1">
      <c r="B165" s="53"/>
      <c r="C165" s="58"/>
      <c r="D165" s="85" t="s">
        <v>38</v>
      </c>
      <c r="E165" s="86"/>
      <c r="F165" s="87" t="s">
        <v>39</v>
      </c>
      <c r="G165" s="88"/>
      <c r="H165" s="89"/>
      <c r="I165" s="84"/>
      <c r="J165" s="76"/>
      <c r="K165" s="77"/>
      <c r="L165" s="73"/>
      <c r="M165" s="73"/>
      <c r="N165" s="78"/>
    </row>
    <row r="166" spans="2:14" ht="18.75" thickBot="1">
      <c r="B166" s="90"/>
      <c r="C166" s="91"/>
      <c r="D166" s="335">
        <f>+D14</f>
        <v>6</v>
      </c>
      <c r="E166" s="59" t="str">
        <f>+E14</f>
        <v>Jauch Daniel </v>
      </c>
      <c r="F166" s="60">
        <f>+F14</f>
        <v>4</v>
      </c>
      <c r="G166" s="92"/>
      <c r="H166" s="92"/>
      <c r="I166" s="92"/>
      <c r="J166" s="92"/>
      <c r="K166" s="92"/>
      <c r="L166" s="92"/>
      <c r="M166" s="92"/>
      <c r="N166" s="92"/>
    </row>
    <row r="167" spans="2:13" ht="18.75" thickBot="1">
      <c r="B167" s="53"/>
      <c r="C167" s="58"/>
      <c r="D167" s="335"/>
      <c r="E167" s="93" t="str">
        <f>+E15</f>
        <v>Hubacher Stefan </v>
      </c>
      <c r="F167" s="94">
        <f>+F15</f>
        <v>17</v>
      </c>
      <c r="G167" s="95"/>
      <c r="H167" s="95"/>
      <c r="I167" s="96"/>
      <c r="J167" s="95"/>
      <c r="K167" s="95"/>
      <c r="L167" s="95"/>
      <c r="M167" s="95"/>
    </row>
    <row r="168" spans="2:13" ht="39" thickBot="1">
      <c r="B168" s="90" t="s">
        <v>41</v>
      </c>
      <c r="C168" s="90" t="s">
        <v>42</v>
      </c>
      <c r="D168" s="97" t="s">
        <v>38</v>
      </c>
      <c r="E168" s="98" t="s">
        <v>1</v>
      </c>
      <c r="F168" s="99"/>
      <c r="G168" s="96" t="s">
        <v>43</v>
      </c>
      <c r="H168" s="100"/>
      <c r="I168" s="101" t="s">
        <v>44</v>
      </c>
      <c r="J168" s="97" t="s">
        <v>83</v>
      </c>
      <c r="K168" s="101" t="s">
        <v>45</v>
      </c>
      <c r="L168" s="96" t="s">
        <v>46</v>
      </c>
      <c r="M168" s="95"/>
    </row>
    <row r="169" spans="2:14" ht="18">
      <c r="B169" s="336">
        <v>1</v>
      </c>
      <c r="C169" s="337">
        <f>VLOOKUP(D166,Plan!$F$25:$N$32,9,0)</f>
        <v>6</v>
      </c>
      <c r="D169" s="339">
        <f>+Plan!$K$15</f>
        <v>5</v>
      </c>
      <c r="E169" s="59" t="str">
        <f>VLOOKUP(D169,$D$3:$H$18,2,0)</f>
        <v>Gede Mudana</v>
      </c>
      <c r="F169" s="102"/>
      <c r="G169" s="103"/>
      <c r="H169" s="104"/>
      <c r="I169" s="271"/>
      <c r="J169" s="275"/>
      <c r="K169" s="105"/>
      <c r="L169" s="106"/>
      <c r="M169" s="340" t="s">
        <v>47</v>
      </c>
      <c r="N169" s="107"/>
    </row>
    <row r="170" spans="2:14" ht="18.75" thickBot="1">
      <c r="B170" s="336"/>
      <c r="C170" s="338"/>
      <c r="D170" s="339"/>
      <c r="E170" s="108" t="str">
        <f>VLOOKUP(D169,$D$3:$H$18,5,0)</f>
        <v>Gede Suyasa</v>
      </c>
      <c r="F170" s="102"/>
      <c r="G170" s="109"/>
      <c r="H170" s="104"/>
      <c r="I170" s="272"/>
      <c r="J170" s="276"/>
      <c r="K170" s="110"/>
      <c r="L170" s="111"/>
      <c r="M170" s="341"/>
      <c r="N170" s="112"/>
    </row>
    <row r="171" spans="2:14" ht="18">
      <c r="B171" s="336">
        <v>2</v>
      </c>
      <c r="C171" s="337">
        <f>VLOOKUP(D166,Plan!$G$25:$N$32,8,0)</f>
        <v>1</v>
      </c>
      <c r="D171" s="339">
        <f>+Plan!$K$16</f>
        <v>8</v>
      </c>
      <c r="E171" s="59" t="str">
        <f>VLOOKUP(D171,$D$3:$H$18,2,0)</f>
        <v>Ancarani Mario</v>
      </c>
      <c r="F171" s="102"/>
      <c r="G171" s="103"/>
      <c r="H171" s="104"/>
      <c r="I171" s="271"/>
      <c r="J171" s="275"/>
      <c r="K171" s="105"/>
      <c r="L171" s="106"/>
      <c r="M171" s="340" t="s">
        <v>47</v>
      </c>
      <c r="N171" s="107"/>
    </row>
    <row r="172" spans="2:14" ht="18.75" thickBot="1">
      <c r="B172" s="336"/>
      <c r="C172" s="338"/>
      <c r="D172" s="339"/>
      <c r="E172" s="108" t="str">
        <f>VLOOKUP(D171,$D$3:$H$18,5,0)</f>
        <v>Fiorani Lucio</v>
      </c>
      <c r="F172" s="102"/>
      <c r="G172" s="109"/>
      <c r="H172" s="104"/>
      <c r="I172" s="272"/>
      <c r="J172" s="276"/>
      <c r="K172" s="110"/>
      <c r="L172" s="111"/>
      <c r="M172" s="341"/>
      <c r="N172" s="112"/>
    </row>
    <row r="173" spans="2:14" ht="18">
      <c r="B173" s="336">
        <v>3</v>
      </c>
      <c r="C173" s="337">
        <f>VLOOKUP(D166,Plan!$H$25:$N$32,7,0)</f>
        <v>8</v>
      </c>
      <c r="D173" s="339">
        <f>+Plan!$K$17</f>
        <v>2</v>
      </c>
      <c r="E173" s="59" t="str">
        <f>VLOOKUP(D173,$D$3:$H$18,2,0)</f>
        <v>Gnägi Kevin</v>
      </c>
      <c r="F173" s="102"/>
      <c r="G173" s="103"/>
      <c r="H173" s="104"/>
      <c r="I173" s="271"/>
      <c r="J173" s="275"/>
      <c r="K173" s="105"/>
      <c r="L173" s="106"/>
      <c r="M173" s="340" t="s">
        <v>47</v>
      </c>
      <c r="N173" s="107"/>
    </row>
    <row r="174" spans="2:14" ht="18.75" thickBot="1">
      <c r="B174" s="336"/>
      <c r="C174" s="338"/>
      <c r="D174" s="339"/>
      <c r="E174" s="108" t="str">
        <f>VLOOKUP(D173,$D$3:$H$18,5,0)</f>
        <v>Suter Martin</v>
      </c>
      <c r="F174" s="102"/>
      <c r="G174" s="109"/>
      <c r="H174" s="104"/>
      <c r="I174" s="272"/>
      <c r="J174" s="276"/>
      <c r="K174" s="110"/>
      <c r="L174" s="111"/>
      <c r="M174" s="341"/>
      <c r="N174" s="112"/>
    </row>
    <row r="175" spans="2:14" ht="18">
      <c r="B175" s="336">
        <v>4</v>
      </c>
      <c r="C175" s="337">
        <f>VLOOKUP(D166,Plan!$I$25:$N$32,6,0)</f>
        <v>2</v>
      </c>
      <c r="D175" s="339">
        <f>+Plan!$K$18</f>
        <v>3</v>
      </c>
      <c r="E175" s="59" t="str">
        <f>VLOOKUP(D175,$D$3:$H$18,2,0)</f>
        <v>Ancarani Sandro</v>
      </c>
      <c r="F175" s="102"/>
      <c r="G175" s="103"/>
      <c r="H175" s="104"/>
      <c r="I175" s="271"/>
      <c r="J175" s="275"/>
      <c r="K175" s="105"/>
      <c r="L175" s="106"/>
      <c r="M175" s="340" t="s">
        <v>47</v>
      </c>
      <c r="N175" s="107"/>
    </row>
    <row r="176" spans="2:14" ht="18.75" thickBot="1">
      <c r="B176" s="336"/>
      <c r="C176" s="338"/>
      <c r="D176" s="339"/>
      <c r="E176" s="108" t="str">
        <f>VLOOKUP(D175,$D$3:$H$18,5,0)</f>
        <v>Thurston Roger</v>
      </c>
      <c r="F176" s="102"/>
      <c r="G176" s="109"/>
      <c r="H176" s="104"/>
      <c r="I176" s="272"/>
      <c r="J176" s="276"/>
      <c r="K176" s="110"/>
      <c r="L176" s="111"/>
      <c r="M176" s="341"/>
      <c r="N176" s="112"/>
    </row>
    <row r="177" spans="2:14" ht="18">
      <c r="B177" s="336">
        <v>5</v>
      </c>
      <c r="C177" s="337">
        <f>VLOOKUP(D166,Plan!$J$25:$N$32,5,0)</f>
        <v>4</v>
      </c>
      <c r="D177" s="339">
        <f>+Plan!$K$19</f>
        <v>4</v>
      </c>
      <c r="E177" s="59" t="str">
        <f>VLOOKUP(D177,$D$3:$H$18,2,0)</f>
        <v>Bloch Stefan</v>
      </c>
      <c r="F177" s="102"/>
      <c r="G177" s="103"/>
      <c r="H177" s="104"/>
      <c r="I177" s="271"/>
      <c r="J177" s="275"/>
      <c r="K177" s="105"/>
      <c r="L177" s="106"/>
      <c r="M177" s="340" t="s">
        <v>47</v>
      </c>
      <c r="N177" s="107"/>
    </row>
    <row r="178" spans="2:14" ht="18.75" thickBot="1">
      <c r="B178" s="336"/>
      <c r="C178" s="338"/>
      <c r="D178" s="339"/>
      <c r="E178" s="108" t="str">
        <f>VLOOKUP(D177,$D$3:$H$18,5,0)</f>
        <v>Deiner Michael</v>
      </c>
      <c r="F178" s="102"/>
      <c r="G178" s="109"/>
      <c r="H178" s="104"/>
      <c r="I178" s="272"/>
      <c r="J178" s="276"/>
      <c r="K178" s="110"/>
      <c r="L178" s="111"/>
      <c r="M178" s="341"/>
      <c r="N178" s="112"/>
    </row>
    <row r="179" spans="2:14" ht="18">
      <c r="B179" s="336">
        <v>6</v>
      </c>
      <c r="C179" s="337">
        <f>VLOOKUP(D166,Plan!$K$25:$N$32,4,0)</f>
        <v>7</v>
      </c>
      <c r="D179" s="339">
        <f>+Plan!$K$20</f>
        <v>7</v>
      </c>
      <c r="E179" s="59" t="str">
        <f>VLOOKUP(D179,$D$3:$H$18,2,0)</f>
        <v>Meyer Samuel</v>
      </c>
      <c r="F179" s="102"/>
      <c r="G179" s="103"/>
      <c r="H179" s="104"/>
      <c r="I179" s="271"/>
      <c r="J179" s="275"/>
      <c r="K179" s="105"/>
      <c r="L179" s="106"/>
      <c r="M179" s="340" t="s">
        <v>47</v>
      </c>
      <c r="N179" s="107"/>
    </row>
    <row r="180" spans="2:14" ht="18.75" thickBot="1">
      <c r="B180" s="336"/>
      <c r="C180" s="338"/>
      <c r="D180" s="339"/>
      <c r="E180" s="108" t="str">
        <f>VLOOKUP(D179,$D$3:$H$18,5,0)</f>
        <v>Punsalan Dany</v>
      </c>
      <c r="F180" s="102"/>
      <c r="G180" s="109"/>
      <c r="H180" s="104"/>
      <c r="I180" s="272"/>
      <c r="J180" s="276"/>
      <c r="K180" s="110"/>
      <c r="L180" s="111"/>
      <c r="M180" s="341"/>
      <c r="N180" s="112"/>
    </row>
    <row r="181" spans="2:14" ht="18">
      <c r="B181" s="336">
        <v>7</v>
      </c>
      <c r="C181" s="337">
        <f>VLOOKUP(D166,Plan!$L$25:$N$32,3,0)</f>
        <v>3</v>
      </c>
      <c r="D181" s="339">
        <f>+Plan!$K$21</f>
        <v>1</v>
      </c>
      <c r="E181" s="59" t="str">
        <f>VLOOKUP(D181,$D$3:$H$18,2,0)</f>
        <v>Stucki Daryl</v>
      </c>
      <c r="F181" s="102"/>
      <c r="G181" s="103"/>
      <c r="H181" s="104"/>
      <c r="I181" s="271"/>
      <c r="J181" s="275"/>
      <c r="K181" s="105"/>
      <c r="L181" s="106"/>
      <c r="M181" s="340" t="s">
        <v>47</v>
      </c>
      <c r="N181" s="107"/>
    </row>
    <row r="182" spans="2:14" ht="18.75" thickBot="1">
      <c r="B182" s="336"/>
      <c r="C182" s="338"/>
      <c r="D182" s="339"/>
      <c r="E182" s="108" t="str">
        <f>VLOOKUP(D181,$D$3:$H$18,5,0)</f>
        <v>Haasper Kevin</v>
      </c>
      <c r="F182" s="102"/>
      <c r="G182" s="109"/>
      <c r="H182" s="104"/>
      <c r="I182" s="272"/>
      <c r="J182" s="276"/>
      <c r="K182" s="110"/>
      <c r="L182" s="111"/>
      <c r="M182" s="341"/>
      <c r="N182" s="112"/>
    </row>
    <row r="183" spans="2:14" ht="12.75">
      <c r="B183" s="113"/>
      <c r="C183" s="114"/>
      <c r="D183" s="113"/>
      <c r="E183" s="115"/>
      <c r="F183" s="116"/>
      <c r="G183" s="117"/>
      <c r="H183" s="117"/>
      <c r="I183" s="117"/>
      <c r="J183" s="117"/>
      <c r="K183" s="117"/>
      <c r="L183" s="117"/>
      <c r="M183" s="117"/>
      <c r="N183" s="117"/>
    </row>
    <row r="184" spans="2:14" ht="20.25">
      <c r="B184" s="118"/>
      <c r="C184" s="119"/>
      <c r="D184" s="118"/>
      <c r="E184" s="119"/>
      <c r="F184" s="119"/>
      <c r="G184" s="120" t="s">
        <v>45</v>
      </c>
      <c r="H184" s="119"/>
      <c r="I184" s="121" t="s">
        <v>48</v>
      </c>
      <c r="J184" s="122"/>
      <c r="L184" s="123" t="s">
        <v>56</v>
      </c>
      <c r="M184" s="122"/>
      <c r="N184" s="122"/>
    </row>
    <row r="185" spans="2:14" ht="20.25">
      <c r="B185" s="118"/>
      <c r="C185" s="119"/>
      <c r="D185" s="118"/>
      <c r="E185" s="124"/>
      <c r="F185" s="119"/>
      <c r="G185" s="125"/>
      <c r="H185" s="119"/>
      <c r="I185" s="121" t="s">
        <v>49</v>
      </c>
      <c r="J185" s="122"/>
      <c r="L185" s="123" t="s">
        <v>57</v>
      </c>
      <c r="M185" s="122"/>
      <c r="N185" s="122"/>
    </row>
    <row r="186" spans="2:14" ht="20.25">
      <c r="B186" s="118"/>
      <c r="C186" s="119"/>
      <c r="D186" s="118"/>
      <c r="E186" s="124"/>
      <c r="F186" s="119"/>
      <c r="G186" s="125"/>
      <c r="H186" s="119"/>
      <c r="I186" s="121" t="s">
        <v>58</v>
      </c>
      <c r="J186" s="122"/>
      <c r="K186" s="123"/>
      <c r="L186" s="123" t="s">
        <v>59</v>
      </c>
      <c r="M186" s="122"/>
      <c r="N186" s="122"/>
    </row>
    <row r="187" spans="2:14" ht="20.25">
      <c r="B187" s="118"/>
      <c r="C187" s="119"/>
      <c r="D187" s="118"/>
      <c r="E187" s="124"/>
      <c r="F187" s="119"/>
      <c r="G187" s="125"/>
      <c r="H187" s="119"/>
      <c r="I187" s="121" t="s">
        <v>60</v>
      </c>
      <c r="J187" s="122"/>
      <c r="K187" s="123"/>
      <c r="L187" s="123" t="s">
        <v>61</v>
      </c>
      <c r="M187" s="122"/>
      <c r="N187" s="122"/>
    </row>
    <row r="188" spans="2:14" ht="12.75">
      <c r="B188" s="53"/>
      <c r="C188" s="58"/>
      <c r="D188" s="53"/>
      <c r="E188" s="126"/>
      <c r="F188" s="127"/>
      <c r="G188" s="71"/>
      <c r="H188" s="71"/>
      <c r="I188" s="71"/>
      <c r="J188" s="71"/>
      <c r="K188" s="71"/>
      <c r="L188" s="71"/>
      <c r="M188" s="71"/>
      <c r="N188" s="71"/>
    </row>
    <row r="189" spans="2:14" ht="37.5">
      <c r="B189" s="53"/>
      <c r="C189" s="58"/>
      <c r="D189" s="53"/>
      <c r="E189" s="72" t="s">
        <v>171</v>
      </c>
      <c r="F189" s="68"/>
      <c r="G189" s="73"/>
      <c r="H189" s="74"/>
      <c r="I189" s="75"/>
      <c r="J189" s="76"/>
      <c r="K189" s="77"/>
      <c r="L189" s="73"/>
      <c r="M189" s="73"/>
      <c r="N189" s="78"/>
    </row>
    <row r="190" spans="2:14" ht="26.25">
      <c r="B190" s="53"/>
      <c r="C190" s="54"/>
      <c r="D190" s="53"/>
      <c r="E190" s="79"/>
      <c r="F190" s="80"/>
      <c r="G190" s="81"/>
      <c r="H190" s="81"/>
      <c r="I190" s="81"/>
      <c r="J190" s="81"/>
      <c r="K190" s="81"/>
      <c r="L190" s="81"/>
      <c r="M190" s="81"/>
      <c r="N190" s="81"/>
    </row>
    <row r="191" spans="2:13" ht="26.25">
      <c r="B191" s="53"/>
      <c r="C191" s="54"/>
      <c r="D191" s="53"/>
      <c r="E191" s="82" t="s">
        <v>174</v>
      </c>
      <c r="F191" s="80"/>
      <c r="G191" s="81"/>
      <c r="H191" s="83" t="s">
        <v>20</v>
      </c>
      <c r="I191" s="81"/>
      <c r="J191" s="81"/>
      <c r="K191" s="81"/>
      <c r="L191" s="81"/>
      <c r="M191" s="81"/>
    </row>
    <row r="192" spans="2:14" ht="26.25">
      <c r="B192" s="53"/>
      <c r="C192" s="58"/>
      <c r="D192" s="53"/>
      <c r="E192" s="67"/>
      <c r="F192" s="68"/>
      <c r="G192" s="69"/>
      <c r="H192" s="70"/>
      <c r="I192" s="84"/>
      <c r="J192" s="76"/>
      <c r="K192" s="77"/>
      <c r="L192" s="73"/>
      <c r="M192" s="73"/>
      <c r="N192" s="78"/>
    </row>
    <row r="193" spans="2:14" ht="27" thickBot="1">
      <c r="B193" s="53"/>
      <c r="C193" s="58"/>
      <c r="D193" s="85" t="s">
        <v>38</v>
      </c>
      <c r="E193" s="86"/>
      <c r="F193" s="87" t="s">
        <v>39</v>
      </c>
      <c r="G193" s="88"/>
      <c r="H193" s="89"/>
      <c r="I193" s="84"/>
      <c r="J193" s="76"/>
      <c r="K193" s="77"/>
      <c r="L193" s="73"/>
      <c r="M193" s="73"/>
      <c r="N193" s="78"/>
    </row>
    <row r="194" spans="2:14" ht="18.75" thickBot="1">
      <c r="B194" s="90"/>
      <c r="C194" s="91"/>
      <c r="D194" s="335">
        <f>+D16</f>
        <v>7</v>
      </c>
      <c r="E194" s="59" t="str">
        <f>+E16</f>
        <v>Meyer Samuel</v>
      </c>
      <c r="F194" s="60">
        <f>+F16</f>
        <v>16</v>
      </c>
      <c r="G194" s="92"/>
      <c r="H194" s="92"/>
      <c r="I194" s="92"/>
      <c r="J194" s="92"/>
      <c r="K194" s="92"/>
      <c r="L194" s="92"/>
      <c r="M194" s="92"/>
      <c r="N194" s="92"/>
    </row>
    <row r="195" spans="2:13" ht="18.75" thickBot="1">
      <c r="B195" s="53"/>
      <c r="C195" s="58"/>
      <c r="D195" s="335"/>
      <c r="E195" s="93" t="str">
        <f>+E17</f>
        <v>Punsalan Dany</v>
      </c>
      <c r="F195" s="94">
        <f>+F17</f>
        <v>12</v>
      </c>
      <c r="G195" s="95"/>
      <c r="H195" s="95"/>
      <c r="I195" s="96"/>
      <c r="J195" s="95"/>
      <c r="K195" s="95"/>
      <c r="L195" s="95"/>
      <c r="M195" s="95"/>
    </row>
    <row r="196" spans="2:13" ht="39" thickBot="1">
      <c r="B196" s="90" t="s">
        <v>41</v>
      </c>
      <c r="C196" s="90" t="s">
        <v>42</v>
      </c>
      <c r="D196" s="97" t="s">
        <v>38</v>
      </c>
      <c r="E196" s="98" t="s">
        <v>1</v>
      </c>
      <c r="F196" s="99"/>
      <c r="G196" s="96" t="s">
        <v>43</v>
      </c>
      <c r="H196" s="100"/>
      <c r="I196" s="101" t="s">
        <v>44</v>
      </c>
      <c r="J196" s="97" t="s">
        <v>83</v>
      </c>
      <c r="K196" s="101" t="s">
        <v>45</v>
      </c>
      <c r="L196" s="96" t="s">
        <v>46</v>
      </c>
      <c r="M196" s="95"/>
    </row>
    <row r="197" spans="2:14" ht="18">
      <c r="B197" s="336">
        <v>1</v>
      </c>
      <c r="C197" s="337">
        <f>VLOOKUP(D194,Plan!$F$25:$N$32,9,0)</f>
        <v>7</v>
      </c>
      <c r="D197" s="339">
        <f>+Plan!$L$15</f>
        <v>8</v>
      </c>
      <c r="E197" s="59" t="str">
        <f>VLOOKUP(D197,$D$3:$H$18,2,0)</f>
        <v>Ancarani Mario</v>
      </c>
      <c r="F197" s="102"/>
      <c r="G197" s="103"/>
      <c r="H197" s="104"/>
      <c r="I197" s="271"/>
      <c r="J197" s="275"/>
      <c r="K197" s="105"/>
      <c r="L197" s="106"/>
      <c r="M197" s="340" t="s">
        <v>47</v>
      </c>
      <c r="N197" s="107"/>
    </row>
    <row r="198" spans="2:14" ht="18.75" thickBot="1">
      <c r="B198" s="336"/>
      <c r="C198" s="338"/>
      <c r="D198" s="339"/>
      <c r="E198" s="108" t="str">
        <f>VLOOKUP(D197,$D$3:$H$18,5,0)</f>
        <v>Fiorani Lucio</v>
      </c>
      <c r="F198" s="102"/>
      <c r="G198" s="109"/>
      <c r="H198" s="104"/>
      <c r="I198" s="272"/>
      <c r="J198" s="276"/>
      <c r="K198" s="110"/>
      <c r="L198" s="111"/>
      <c r="M198" s="341"/>
      <c r="N198" s="112"/>
    </row>
    <row r="199" spans="2:14" ht="18">
      <c r="B199" s="336">
        <v>2</v>
      </c>
      <c r="C199" s="337">
        <f>VLOOKUP(D194,Plan!$G$25:$N$32,8,0)</f>
        <v>4</v>
      </c>
      <c r="D199" s="339">
        <f>+Plan!$L$16</f>
        <v>5</v>
      </c>
      <c r="E199" s="59" t="str">
        <f>VLOOKUP(D199,$D$3:$H$18,2,0)</f>
        <v>Gede Mudana</v>
      </c>
      <c r="F199" s="102"/>
      <c r="G199" s="103"/>
      <c r="H199" s="104"/>
      <c r="I199" s="271"/>
      <c r="J199" s="275"/>
      <c r="K199" s="105"/>
      <c r="L199" s="106"/>
      <c r="M199" s="340" t="s">
        <v>47</v>
      </c>
      <c r="N199" s="107"/>
    </row>
    <row r="200" spans="2:14" ht="18.75" thickBot="1">
      <c r="B200" s="336"/>
      <c r="C200" s="338"/>
      <c r="D200" s="339"/>
      <c r="E200" s="108" t="str">
        <f>VLOOKUP(D199,$D$3:$H$18,5,0)</f>
        <v>Gede Suyasa</v>
      </c>
      <c r="F200" s="102"/>
      <c r="G200" s="109"/>
      <c r="H200" s="104"/>
      <c r="I200" s="272"/>
      <c r="J200" s="276"/>
      <c r="K200" s="110"/>
      <c r="L200" s="111"/>
      <c r="M200" s="341"/>
      <c r="N200" s="112"/>
    </row>
    <row r="201" spans="2:14" ht="18">
      <c r="B201" s="336">
        <v>3</v>
      </c>
      <c r="C201" s="337">
        <f>VLOOKUP(D194,Plan!$H$25:$N$32,7,0)</f>
        <v>5</v>
      </c>
      <c r="D201" s="339">
        <f>+Plan!$L$17</f>
        <v>3</v>
      </c>
      <c r="E201" s="59" t="str">
        <f>VLOOKUP(D201,$D$3:$H$18,2,0)</f>
        <v>Ancarani Sandro</v>
      </c>
      <c r="F201" s="102"/>
      <c r="G201" s="103"/>
      <c r="H201" s="104"/>
      <c r="I201" s="271"/>
      <c r="J201" s="275"/>
      <c r="K201" s="105"/>
      <c r="L201" s="106"/>
      <c r="M201" s="340" t="s">
        <v>47</v>
      </c>
      <c r="N201" s="107"/>
    </row>
    <row r="202" spans="2:14" ht="18.75" thickBot="1">
      <c r="B202" s="336"/>
      <c r="C202" s="338"/>
      <c r="D202" s="339"/>
      <c r="E202" s="108" t="str">
        <f>VLOOKUP(D201,$D$3:$H$18,5,0)</f>
        <v>Thurston Roger</v>
      </c>
      <c r="F202" s="102"/>
      <c r="G202" s="109"/>
      <c r="H202" s="104"/>
      <c r="I202" s="272"/>
      <c r="J202" s="276"/>
      <c r="K202" s="110"/>
      <c r="L202" s="111"/>
      <c r="M202" s="341"/>
      <c r="N202" s="112"/>
    </row>
    <row r="203" spans="2:14" ht="18">
      <c r="B203" s="336">
        <v>4</v>
      </c>
      <c r="C203" s="337">
        <f>VLOOKUP(D194,Plan!$I$25:$N$32,6,0)</f>
        <v>3</v>
      </c>
      <c r="D203" s="339">
        <f>+Plan!$L$18</f>
        <v>2</v>
      </c>
      <c r="E203" s="59" t="str">
        <f>VLOOKUP(D203,$D$3:$H$18,2,0)</f>
        <v>Gnägi Kevin</v>
      </c>
      <c r="F203" s="102"/>
      <c r="G203" s="103"/>
      <c r="H203" s="104"/>
      <c r="I203" s="271"/>
      <c r="J203" s="275"/>
      <c r="K203" s="105"/>
      <c r="L203" s="106"/>
      <c r="M203" s="340" t="s">
        <v>47</v>
      </c>
      <c r="N203" s="107"/>
    </row>
    <row r="204" spans="2:14" ht="18.75" thickBot="1">
      <c r="B204" s="336"/>
      <c r="C204" s="338"/>
      <c r="D204" s="339"/>
      <c r="E204" s="108" t="str">
        <f>VLOOKUP(D203,$D$3:$H$18,5,0)</f>
        <v>Suter Martin</v>
      </c>
      <c r="F204" s="102"/>
      <c r="G204" s="109"/>
      <c r="H204" s="104"/>
      <c r="I204" s="272"/>
      <c r="J204" s="276"/>
      <c r="K204" s="110"/>
      <c r="L204" s="111"/>
      <c r="M204" s="341"/>
      <c r="N204" s="112"/>
    </row>
    <row r="205" spans="2:14" ht="18">
      <c r="B205" s="336">
        <v>5</v>
      </c>
      <c r="C205" s="337">
        <f>VLOOKUP(D194,Plan!$J$25:$N$32,5,0)</f>
        <v>1</v>
      </c>
      <c r="D205" s="339">
        <f>+Plan!$L$19</f>
        <v>1</v>
      </c>
      <c r="E205" s="59" t="str">
        <f>VLOOKUP(D205,$D$3:$H$18,2,0)</f>
        <v>Stucki Daryl</v>
      </c>
      <c r="F205" s="102"/>
      <c r="G205" s="103"/>
      <c r="H205" s="104"/>
      <c r="I205" s="271"/>
      <c r="J205" s="275"/>
      <c r="K205" s="105"/>
      <c r="L205" s="106"/>
      <c r="M205" s="340" t="s">
        <v>47</v>
      </c>
      <c r="N205" s="107"/>
    </row>
    <row r="206" spans="2:14" ht="18.75" thickBot="1">
      <c r="B206" s="336"/>
      <c r="C206" s="338"/>
      <c r="D206" s="339"/>
      <c r="E206" s="108" t="str">
        <f>VLOOKUP(D205,$D$3:$H$18,5,0)</f>
        <v>Haasper Kevin</v>
      </c>
      <c r="F206" s="102"/>
      <c r="G206" s="109"/>
      <c r="H206" s="104"/>
      <c r="I206" s="272"/>
      <c r="J206" s="276"/>
      <c r="K206" s="110"/>
      <c r="L206" s="111"/>
      <c r="M206" s="341"/>
      <c r="N206" s="112"/>
    </row>
    <row r="207" spans="2:14" ht="18">
      <c r="B207" s="336">
        <v>6</v>
      </c>
      <c r="C207" s="337">
        <f>VLOOKUP(D194,Plan!$K$25:$N$32,4,0)</f>
        <v>8</v>
      </c>
      <c r="D207" s="339">
        <f>+Plan!$L$20</f>
        <v>6</v>
      </c>
      <c r="E207" s="59" t="str">
        <f>VLOOKUP(D207,$D$3:$H$18,2,0)</f>
        <v>Jauch Daniel </v>
      </c>
      <c r="F207" s="102"/>
      <c r="G207" s="103"/>
      <c r="H207" s="104"/>
      <c r="I207" s="271"/>
      <c r="J207" s="275"/>
      <c r="K207" s="105"/>
      <c r="L207" s="106"/>
      <c r="M207" s="340" t="s">
        <v>47</v>
      </c>
      <c r="N207" s="107"/>
    </row>
    <row r="208" spans="2:14" ht="18.75" thickBot="1">
      <c r="B208" s="336"/>
      <c r="C208" s="338"/>
      <c r="D208" s="339"/>
      <c r="E208" s="108" t="str">
        <f>VLOOKUP(D207,$D$3:$H$18,5,0)</f>
        <v>Hubacher Stefan </v>
      </c>
      <c r="F208" s="102"/>
      <c r="G208" s="109"/>
      <c r="H208" s="104"/>
      <c r="I208" s="272"/>
      <c r="J208" s="276"/>
      <c r="K208" s="110"/>
      <c r="L208" s="111"/>
      <c r="M208" s="341"/>
      <c r="N208" s="112"/>
    </row>
    <row r="209" spans="2:14" ht="18">
      <c r="B209" s="336">
        <v>7</v>
      </c>
      <c r="C209" s="337">
        <f>VLOOKUP(D194,Plan!$L$25:$N$32,3,0)</f>
        <v>2</v>
      </c>
      <c r="D209" s="339">
        <f>+Plan!$L$21</f>
        <v>4</v>
      </c>
      <c r="E209" s="59" t="str">
        <f>VLOOKUP(D209,$D$3:$H$18,2,0)</f>
        <v>Bloch Stefan</v>
      </c>
      <c r="F209" s="102"/>
      <c r="G209" s="103"/>
      <c r="H209" s="104"/>
      <c r="I209" s="271"/>
      <c r="J209" s="275"/>
      <c r="K209" s="105"/>
      <c r="L209" s="106"/>
      <c r="M209" s="340" t="s">
        <v>47</v>
      </c>
      <c r="N209" s="107"/>
    </row>
    <row r="210" spans="2:14" ht="18.75" thickBot="1">
      <c r="B210" s="336"/>
      <c r="C210" s="338"/>
      <c r="D210" s="339"/>
      <c r="E210" s="108" t="str">
        <f>VLOOKUP(D209,$D$3:$H$18,5,0)</f>
        <v>Deiner Michael</v>
      </c>
      <c r="F210" s="102"/>
      <c r="G210" s="109"/>
      <c r="H210" s="104"/>
      <c r="I210" s="272"/>
      <c r="J210" s="276"/>
      <c r="K210" s="110"/>
      <c r="L210" s="111"/>
      <c r="M210" s="341"/>
      <c r="N210" s="112"/>
    </row>
    <row r="211" spans="2:14" ht="12.75">
      <c r="B211" s="113"/>
      <c r="C211" s="114"/>
      <c r="D211" s="113"/>
      <c r="E211" s="115"/>
      <c r="F211" s="116"/>
      <c r="G211" s="117"/>
      <c r="H211" s="117"/>
      <c r="I211" s="117"/>
      <c r="J211" s="117"/>
      <c r="K211" s="117"/>
      <c r="L211" s="117"/>
      <c r="M211" s="117"/>
      <c r="N211" s="117"/>
    </row>
    <row r="212" spans="2:14" ht="20.25">
      <c r="B212" s="118"/>
      <c r="C212" s="119"/>
      <c r="D212" s="118"/>
      <c r="E212" s="119"/>
      <c r="F212" s="119"/>
      <c r="G212" s="120" t="s">
        <v>45</v>
      </c>
      <c r="H212" s="119"/>
      <c r="I212" s="121" t="s">
        <v>48</v>
      </c>
      <c r="J212" s="122"/>
      <c r="L212" s="123" t="s">
        <v>56</v>
      </c>
      <c r="M212" s="122"/>
      <c r="N212" s="122"/>
    </row>
    <row r="213" spans="2:14" ht="20.25">
      <c r="B213" s="118"/>
      <c r="C213" s="119"/>
      <c r="D213" s="118"/>
      <c r="E213" s="124"/>
      <c r="F213" s="119"/>
      <c r="G213" s="125"/>
      <c r="H213" s="119"/>
      <c r="I213" s="121" t="s">
        <v>49</v>
      </c>
      <c r="J213" s="122"/>
      <c r="L213" s="123" t="s">
        <v>57</v>
      </c>
      <c r="M213" s="122"/>
      <c r="N213" s="122"/>
    </row>
    <row r="214" spans="2:14" ht="20.25">
      <c r="B214" s="118"/>
      <c r="C214" s="119"/>
      <c r="D214" s="118"/>
      <c r="E214" s="124"/>
      <c r="F214" s="119"/>
      <c r="G214" s="125"/>
      <c r="H214" s="119"/>
      <c r="I214" s="121" t="s">
        <v>58</v>
      </c>
      <c r="J214" s="122"/>
      <c r="K214" s="123"/>
      <c r="L214" s="123" t="s">
        <v>59</v>
      </c>
      <c r="M214" s="122"/>
      <c r="N214" s="122"/>
    </row>
    <row r="215" spans="2:14" ht="20.25">
      <c r="B215" s="118"/>
      <c r="C215" s="119"/>
      <c r="D215" s="118"/>
      <c r="E215" s="124"/>
      <c r="F215" s="119"/>
      <c r="G215" s="125"/>
      <c r="H215" s="119"/>
      <c r="I215" s="121" t="s">
        <v>60</v>
      </c>
      <c r="J215" s="122"/>
      <c r="K215" s="123"/>
      <c r="L215" s="123" t="s">
        <v>61</v>
      </c>
      <c r="M215" s="122"/>
      <c r="N215" s="122"/>
    </row>
    <row r="216" spans="2:14" ht="12.75">
      <c r="B216" s="53"/>
      <c r="C216" s="58"/>
      <c r="D216" s="53"/>
      <c r="E216" s="126"/>
      <c r="F216" s="127"/>
      <c r="G216" s="71"/>
      <c r="H216" s="71"/>
      <c r="I216" s="71"/>
      <c r="J216" s="71"/>
      <c r="K216" s="71"/>
      <c r="L216" s="71"/>
      <c r="M216" s="71"/>
      <c r="N216" s="71"/>
    </row>
    <row r="217" spans="2:14" ht="37.5">
      <c r="B217" s="53"/>
      <c r="C217" s="58"/>
      <c r="D217" s="53"/>
      <c r="E217" s="72" t="s">
        <v>171</v>
      </c>
      <c r="F217" s="68"/>
      <c r="G217" s="73"/>
      <c r="H217" s="74"/>
      <c r="I217" s="75"/>
      <c r="J217" s="76"/>
      <c r="K217" s="77"/>
      <c r="L217" s="73"/>
      <c r="M217" s="73"/>
      <c r="N217" s="78"/>
    </row>
    <row r="218" spans="2:14" ht="26.25">
      <c r="B218" s="53"/>
      <c r="C218" s="54"/>
      <c r="D218" s="53"/>
      <c r="E218" s="79"/>
      <c r="F218" s="80"/>
      <c r="G218" s="81"/>
      <c r="H218" s="81"/>
      <c r="I218" s="81"/>
      <c r="J218" s="81"/>
      <c r="K218" s="81"/>
      <c r="L218" s="81"/>
      <c r="M218" s="81"/>
      <c r="N218" s="81"/>
    </row>
    <row r="219" spans="2:13" ht="26.25">
      <c r="B219" s="53"/>
      <c r="C219" s="54"/>
      <c r="D219" s="53"/>
      <c r="E219" s="82" t="s">
        <v>174</v>
      </c>
      <c r="F219" s="80"/>
      <c r="G219" s="81"/>
      <c r="H219" s="83" t="s">
        <v>20</v>
      </c>
      <c r="I219" s="81"/>
      <c r="J219" s="81"/>
      <c r="K219" s="81"/>
      <c r="L219" s="81"/>
      <c r="M219" s="81"/>
    </row>
    <row r="220" spans="2:14" ht="26.25">
      <c r="B220" s="53"/>
      <c r="C220" s="58"/>
      <c r="D220" s="53"/>
      <c r="E220" s="67"/>
      <c r="F220" s="68"/>
      <c r="G220" s="69"/>
      <c r="H220" s="70"/>
      <c r="I220" s="84"/>
      <c r="J220" s="76"/>
      <c r="K220" s="77"/>
      <c r="L220" s="73"/>
      <c r="M220" s="73"/>
      <c r="N220" s="78"/>
    </row>
    <row r="221" spans="2:14" ht="27" thickBot="1">
      <c r="B221" s="53"/>
      <c r="C221" s="58"/>
      <c r="D221" s="85" t="s">
        <v>38</v>
      </c>
      <c r="E221" s="86"/>
      <c r="F221" s="87" t="s">
        <v>39</v>
      </c>
      <c r="G221" s="88"/>
      <c r="H221" s="89"/>
      <c r="I221" s="84"/>
      <c r="J221" s="76"/>
      <c r="K221" s="77"/>
      <c r="L221" s="73"/>
      <c r="M221" s="73"/>
      <c r="N221" s="78"/>
    </row>
    <row r="222" spans="2:14" ht="18.75" thickBot="1">
      <c r="B222" s="90"/>
      <c r="C222" s="91"/>
      <c r="D222" s="335">
        <f>+D18</f>
        <v>8</v>
      </c>
      <c r="E222" s="59" t="str">
        <f>+E18</f>
        <v>Ancarani Mario</v>
      </c>
      <c r="F222" s="60">
        <f>+F18</f>
        <v>8</v>
      </c>
      <c r="G222" s="92"/>
      <c r="H222" s="92"/>
      <c r="I222" s="92"/>
      <c r="J222" s="92"/>
      <c r="K222" s="92"/>
      <c r="L222" s="92"/>
      <c r="M222" s="92"/>
      <c r="N222" s="92"/>
    </row>
    <row r="223" spans="2:13" ht="18.75" thickBot="1">
      <c r="B223" s="53"/>
      <c r="C223" s="58"/>
      <c r="D223" s="335"/>
      <c r="E223" s="93" t="str">
        <f>+E19</f>
        <v>Fiorani Lucio</v>
      </c>
      <c r="F223" s="94">
        <f>+F19</f>
        <v>0</v>
      </c>
      <c r="G223" s="95"/>
      <c r="H223" s="95"/>
      <c r="I223" s="96"/>
      <c r="J223" s="95"/>
      <c r="K223" s="95"/>
      <c r="L223" s="95"/>
      <c r="M223" s="95"/>
    </row>
    <row r="224" spans="2:13" ht="39" thickBot="1">
      <c r="B224" s="90" t="s">
        <v>41</v>
      </c>
      <c r="C224" s="90" t="s">
        <v>42</v>
      </c>
      <c r="D224" s="97" t="s">
        <v>38</v>
      </c>
      <c r="E224" s="98" t="s">
        <v>1</v>
      </c>
      <c r="F224" s="99"/>
      <c r="G224" s="96" t="s">
        <v>43</v>
      </c>
      <c r="H224" s="100"/>
      <c r="I224" s="101" t="s">
        <v>44</v>
      </c>
      <c r="J224" s="97" t="s">
        <v>83</v>
      </c>
      <c r="K224" s="101" t="s">
        <v>45</v>
      </c>
      <c r="L224" s="96" t="s">
        <v>46</v>
      </c>
      <c r="M224" s="95"/>
    </row>
    <row r="225" spans="2:14" ht="18">
      <c r="B225" s="336">
        <v>1</v>
      </c>
      <c r="C225" s="337">
        <f>VLOOKUP(D222,Plan!$F$25:$N$32,9,0)</f>
        <v>8</v>
      </c>
      <c r="D225" s="339">
        <f>+Plan!$M$15</f>
        <v>7</v>
      </c>
      <c r="E225" s="59" t="str">
        <f>VLOOKUP(D225,$D$3:$H$18,2,0)</f>
        <v>Meyer Samuel</v>
      </c>
      <c r="F225" s="102"/>
      <c r="G225" s="103"/>
      <c r="H225" s="104"/>
      <c r="I225" s="271"/>
      <c r="J225" s="275"/>
      <c r="K225" s="105"/>
      <c r="L225" s="106"/>
      <c r="M225" s="340" t="s">
        <v>47</v>
      </c>
      <c r="N225" s="107"/>
    </row>
    <row r="226" spans="2:14" ht="18.75" thickBot="1">
      <c r="B226" s="336"/>
      <c r="C226" s="338"/>
      <c r="D226" s="339"/>
      <c r="E226" s="108" t="str">
        <f>VLOOKUP(D225,$D$3:$H$18,5,0)</f>
        <v>Punsalan Dany</v>
      </c>
      <c r="F226" s="102"/>
      <c r="G226" s="109"/>
      <c r="H226" s="104"/>
      <c r="I226" s="272"/>
      <c r="J226" s="276"/>
      <c r="K226" s="110"/>
      <c r="L226" s="111"/>
      <c r="M226" s="341"/>
      <c r="N226" s="112"/>
    </row>
    <row r="227" spans="2:14" ht="18">
      <c r="B227" s="336">
        <v>2</v>
      </c>
      <c r="C227" s="337">
        <f>VLOOKUP(D222,Plan!$G$25:$N$32,8,0)</f>
        <v>2</v>
      </c>
      <c r="D227" s="339">
        <f>+Plan!$M$16</f>
        <v>6</v>
      </c>
      <c r="E227" s="59" t="str">
        <f>VLOOKUP(D227,$D$3:$H$18,2,0)</f>
        <v>Jauch Daniel </v>
      </c>
      <c r="F227" s="102"/>
      <c r="G227" s="103"/>
      <c r="H227" s="104"/>
      <c r="I227" s="271"/>
      <c r="J227" s="275"/>
      <c r="K227" s="105"/>
      <c r="L227" s="106"/>
      <c r="M227" s="340" t="s">
        <v>47</v>
      </c>
      <c r="N227" s="107"/>
    </row>
    <row r="228" spans="2:14" ht="18.75" thickBot="1">
      <c r="B228" s="336"/>
      <c r="C228" s="338"/>
      <c r="D228" s="339"/>
      <c r="E228" s="108" t="str">
        <f>VLOOKUP(D227,$D$3:$H$18,5,0)</f>
        <v>Hubacher Stefan </v>
      </c>
      <c r="F228" s="102"/>
      <c r="G228" s="109"/>
      <c r="H228" s="104"/>
      <c r="I228" s="272"/>
      <c r="J228" s="276"/>
      <c r="K228" s="110"/>
      <c r="L228" s="111"/>
      <c r="M228" s="341"/>
      <c r="N228" s="112"/>
    </row>
    <row r="229" spans="2:14" ht="18">
      <c r="B229" s="336">
        <v>3</v>
      </c>
      <c r="C229" s="337">
        <f>VLOOKUP(D222,Plan!$H$25:$N$32,7,0)</f>
        <v>4</v>
      </c>
      <c r="D229" s="339">
        <f>+Plan!$M$17</f>
        <v>1</v>
      </c>
      <c r="E229" s="59" t="str">
        <f>VLOOKUP(D229,$D$3:$H$18,2,0)</f>
        <v>Stucki Daryl</v>
      </c>
      <c r="F229" s="102"/>
      <c r="G229" s="103"/>
      <c r="H229" s="104"/>
      <c r="I229" s="271"/>
      <c r="J229" s="275"/>
      <c r="K229" s="105"/>
      <c r="L229" s="106"/>
      <c r="M229" s="340" t="s">
        <v>47</v>
      </c>
      <c r="N229" s="107"/>
    </row>
    <row r="230" spans="2:14" ht="18.75" thickBot="1">
      <c r="B230" s="336"/>
      <c r="C230" s="338"/>
      <c r="D230" s="339"/>
      <c r="E230" s="108" t="str">
        <f>VLOOKUP(D229,$D$3:$H$18,5,0)</f>
        <v>Haasper Kevin</v>
      </c>
      <c r="F230" s="102"/>
      <c r="G230" s="109"/>
      <c r="H230" s="104"/>
      <c r="I230" s="272"/>
      <c r="J230" s="276"/>
      <c r="K230" s="110"/>
      <c r="L230" s="111"/>
      <c r="M230" s="341"/>
      <c r="N230" s="112"/>
    </row>
    <row r="231" spans="2:14" ht="18">
      <c r="B231" s="336">
        <v>4</v>
      </c>
      <c r="C231" s="337">
        <f>VLOOKUP(D222,Plan!$I$25:$N$32,6,0)</f>
        <v>7</v>
      </c>
      <c r="D231" s="339">
        <f>+Plan!$M$18</f>
        <v>4</v>
      </c>
      <c r="E231" s="59" t="str">
        <f>VLOOKUP(D231,$D$3:$H$18,2,0)</f>
        <v>Bloch Stefan</v>
      </c>
      <c r="F231" s="102"/>
      <c r="G231" s="103"/>
      <c r="H231" s="104"/>
      <c r="I231" s="271"/>
      <c r="J231" s="275"/>
      <c r="K231" s="105"/>
      <c r="L231" s="106"/>
      <c r="M231" s="340" t="s">
        <v>47</v>
      </c>
      <c r="N231" s="107"/>
    </row>
    <row r="232" spans="2:14" ht="18.75" thickBot="1">
      <c r="B232" s="336"/>
      <c r="C232" s="338"/>
      <c r="D232" s="339"/>
      <c r="E232" s="108" t="str">
        <f>VLOOKUP(D231,$D$3:$H$18,5,0)</f>
        <v>Deiner Michael</v>
      </c>
      <c r="F232" s="102"/>
      <c r="G232" s="109"/>
      <c r="H232" s="104"/>
      <c r="I232" s="272"/>
      <c r="J232" s="276"/>
      <c r="K232" s="110"/>
      <c r="L232" s="111"/>
      <c r="M232" s="341"/>
      <c r="N232" s="112"/>
    </row>
    <row r="233" spans="2:14" ht="18">
      <c r="B233" s="336">
        <v>5</v>
      </c>
      <c r="C233" s="337">
        <f>VLOOKUP(D222,Plan!$J$25:$N$32,5,0)</f>
        <v>6</v>
      </c>
      <c r="D233" s="339">
        <f>+Plan!$M$19</f>
        <v>3</v>
      </c>
      <c r="E233" s="59" t="str">
        <f>VLOOKUP(D233,$D$3:$H$18,2,0)</f>
        <v>Ancarani Sandro</v>
      </c>
      <c r="F233" s="102"/>
      <c r="G233" s="103"/>
      <c r="H233" s="104"/>
      <c r="I233" s="271"/>
      <c r="J233" s="275"/>
      <c r="K233" s="105"/>
      <c r="L233" s="106"/>
      <c r="M233" s="340" t="s">
        <v>47</v>
      </c>
      <c r="N233" s="107"/>
    </row>
    <row r="234" spans="2:14" ht="18.75" thickBot="1">
      <c r="B234" s="336"/>
      <c r="C234" s="338"/>
      <c r="D234" s="339"/>
      <c r="E234" s="108" t="str">
        <f>VLOOKUP(D233,$D$3:$H$18,5,0)</f>
        <v>Thurston Roger</v>
      </c>
      <c r="F234" s="102"/>
      <c r="G234" s="109"/>
      <c r="H234" s="104"/>
      <c r="I234" s="272"/>
      <c r="J234" s="276"/>
      <c r="K234" s="110"/>
      <c r="L234" s="111"/>
      <c r="M234" s="341"/>
      <c r="N234" s="112"/>
    </row>
    <row r="235" spans="2:14" ht="18">
      <c r="B235" s="336">
        <v>6</v>
      </c>
      <c r="C235" s="337">
        <f>VLOOKUP(D222,Plan!$K$25:$N$32,4,0)</f>
        <v>3</v>
      </c>
      <c r="D235" s="339">
        <f>+Plan!$M$20</f>
        <v>5</v>
      </c>
      <c r="E235" s="59" t="str">
        <f>VLOOKUP(D235,$D$3:$H$18,2,0)</f>
        <v>Gede Mudana</v>
      </c>
      <c r="F235" s="102"/>
      <c r="G235" s="103"/>
      <c r="H235" s="104"/>
      <c r="I235" s="271"/>
      <c r="J235" s="275"/>
      <c r="K235" s="105"/>
      <c r="L235" s="106"/>
      <c r="M235" s="340" t="s">
        <v>47</v>
      </c>
      <c r="N235" s="107"/>
    </row>
    <row r="236" spans="2:14" ht="18.75" thickBot="1">
      <c r="B236" s="336"/>
      <c r="C236" s="338"/>
      <c r="D236" s="339"/>
      <c r="E236" s="108" t="str">
        <f>VLOOKUP(D235,$D$3:$H$18,5,0)</f>
        <v>Gede Suyasa</v>
      </c>
      <c r="F236" s="102"/>
      <c r="G236" s="109"/>
      <c r="H236" s="104"/>
      <c r="I236" s="272"/>
      <c r="J236" s="276"/>
      <c r="K236" s="110"/>
      <c r="L236" s="111"/>
      <c r="M236" s="341"/>
      <c r="N236" s="112"/>
    </row>
    <row r="237" spans="2:14" ht="18">
      <c r="B237" s="336">
        <v>7</v>
      </c>
      <c r="C237" s="337">
        <f>VLOOKUP(D222,Plan!$L$25:$N$32,3,0)</f>
        <v>5</v>
      </c>
      <c r="D237" s="339">
        <f>+Plan!$M$21</f>
        <v>2</v>
      </c>
      <c r="E237" s="59" t="str">
        <f>VLOOKUP(D237,$D$3:$H$18,2,0)</f>
        <v>Gnägi Kevin</v>
      </c>
      <c r="F237" s="102"/>
      <c r="G237" s="103"/>
      <c r="H237" s="104"/>
      <c r="I237" s="271"/>
      <c r="J237" s="275"/>
      <c r="K237" s="105"/>
      <c r="L237" s="106"/>
      <c r="M237" s="340" t="s">
        <v>47</v>
      </c>
      <c r="N237" s="107"/>
    </row>
    <row r="238" spans="2:14" ht="18.75" thickBot="1">
      <c r="B238" s="336"/>
      <c r="C238" s="338"/>
      <c r="D238" s="339"/>
      <c r="E238" s="108" t="str">
        <f>VLOOKUP(D237,$D$3:$H$18,5,0)</f>
        <v>Suter Martin</v>
      </c>
      <c r="F238" s="102"/>
      <c r="G238" s="109"/>
      <c r="H238" s="104"/>
      <c r="I238" s="272"/>
      <c r="J238" s="276"/>
      <c r="K238" s="110"/>
      <c r="L238" s="111"/>
      <c r="M238" s="341"/>
      <c r="N238" s="112"/>
    </row>
    <row r="239" spans="2:14" ht="12.75">
      <c r="B239" s="113"/>
      <c r="C239" s="114"/>
      <c r="D239" s="113"/>
      <c r="E239" s="115"/>
      <c r="F239" s="116"/>
      <c r="G239" s="117"/>
      <c r="H239" s="117"/>
      <c r="I239" s="117"/>
      <c r="J239" s="117"/>
      <c r="K239" s="117"/>
      <c r="L239" s="117"/>
      <c r="M239" s="117"/>
      <c r="N239" s="117"/>
    </row>
    <row r="240" spans="2:14" ht="20.25">
      <c r="B240" s="118"/>
      <c r="C240" s="119"/>
      <c r="D240" s="118"/>
      <c r="E240" s="119"/>
      <c r="F240" s="119"/>
      <c r="G240" s="120" t="s">
        <v>45</v>
      </c>
      <c r="H240" s="119"/>
      <c r="I240" s="121" t="s">
        <v>48</v>
      </c>
      <c r="J240" s="122"/>
      <c r="L240" s="123" t="s">
        <v>56</v>
      </c>
      <c r="M240" s="122"/>
      <c r="N240" s="122"/>
    </row>
    <row r="241" spans="2:14" ht="20.25">
      <c r="B241" s="118"/>
      <c r="C241" s="119"/>
      <c r="D241" s="118"/>
      <c r="E241" s="124"/>
      <c r="F241" s="119"/>
      <c r="G241" s="125"/>
      <c r="H241" s="119"/>
      <c r="I241" s="121" t="s">
        <v>49</v>
      </c>
      <c r="J241" s="122"/>
      <c r="L241" s="123" t="s">
        <v>57</v>
      </c>
      <c r="M241" s="122"/>
      <c r="N241" s="122"/>
    </row>
    <row r="242" spans="2:14" ht="20.25">
      <c r="B242" s="118"/>
      <c r="C242" s="119"/>
      <c r="D242" s="118"/>
      <c r="E242" s="124"/>
      <c r="F242" s="119"/>
      <c r="G242" s="125"/>
      <c r="H242" s="119"/>
      <c r="I242" s="121" t="s">
        <v>58</v>
      </c>
      <c r="J242" s="122"/>
      <c r="K242" s="123"/>
      <c r="L242" s="123" t="s">
        <v>59</v>
      </c>
      <c r="M242" s="122"/>
      <c r="N242" s="122"/>
    </row>
    <row r="243" spans="2:14" ht="20.25">
      <c r="B243" s="118"/>
      <c r="C243" s="119"/>
      <c r="D243" s="118"/>
      <c r="E243" s="124"/>
      <c r="F243" s="119"/>
      <c r="G243" s="125"/>
      <c r="H243" s="119"/>
      <c r="I243" s="121" t="s">
        <v>60</v>
      </c>
      <c r="J243" s="122"/>
      <c r="K243" s="123"/>
      <c r="L243" s="123" t="s">
        <v>61</v>
      </c>
      <c r="M243" s="122"/>
      <c r="N243" s="122"/>
    </row>
    <row r="244" spans="8:9" ht="12.75">
      <c r="H244" s="81"/>
      <c r="I244" s="81"/>
    </row>
  </sheetData>
  <mergeCells count="240">
    <mergeCell ref="B237:B238"/>
    <mergeCell ref="C237:C238"/>
    <mergeCell ref="D237:D238"/>
    <mergeCell ref="M237:M238"/>
    <mergeCell ref="B235:B236"/>
    <mergeCell ref="C235:C236"/>
    <mergeCell ref="D235:D236"/>
    <mergeCell ref="M235:M236"/>
    <mergeCell ref="B233:B234"/>
    <mergeCell ref="C233:C234"/>
    <mergeCell ref="D233:D234"/>
    <mergeCell ref="M233:M234"/>
    <mergeCell ref="B231:B232"/>
    <mergeCell ref="C231:C232"/>
    <mergeCell ref="D231:D232"/>
    <mergeCell ref="M231:M232"/>
    <mergeCell ref="B229:B230"/>
    <mergeCell ref="C229:C230"/>
    <mergeCell ref="D229:D230"/>
    <mergeCell ref="M229:M230"/>
    <mergeCell ref="M225:M226"/>
    <mergeCell ref="B227:B228"/>
    <mergeCell ref="C227:C228"/>
    <mergeCell ref="D227:D228"/>
    <mergeCell ref="M227:M228"/>
    <mergeCell ref="D222:D223"/>
    <mergeCell ref="B225:B226"/>
    <mergeCell ref="C225:C226"/>
    <mergeCell ref="D225:D226"/>
    <mergeCell ref="B209:B210"/>
    <mergeCell ref="C209:C210"/>
    <mergeCell ref="D209:D210"/>
    <mergeCell ref="M209:M210"/>
    <mergeCell ref="B207:B208"/>
    <mergeCell ref="C207:C208"/>
    <mergeCell ref="D207:D208"/>
    <mergeCell ref="M207:M208"/>
    <mergeCell ref="B205:B206"/>
    <mergeCell ref="C205:C206"/>
    <mergeCell ref="D205:D206"/>
    <mergeCell ref="M205:M206"/>
    <mergeCell ref="B203:B204"/>
    <mergeCell ref="C203:C204"/>
    <mergeCell ref="D203:D204"/>
    <mergeCell ref="M203:M204"/>
    <mergeCell ref="B201:B202"/>
    <mergeCell ref="C201:C202"/>
    <mergeCell ref="D201:D202"/>
    <mergeCell ref="M201:M202"/>
    <mergeCell ref="M197:M198"/>
    <mergeCell ref="B199:B200"/>
    <mergeCell ref="C199:C200"/>
    <mergeCell ref="D199:D200"/>
    <mergeCell ref="M199:M200"/>
    <mergeCell ref="D194:D195"/>
    <mergeCell ref="B197:B198"/>
    <mergeCell ref="C197:C198"/>
    <mergeCell ref="D197:D198"/>
    <mergeCell ref="B181:B182"/>
    <mergeCell ref="C181:C182"/>
    <mergeCell ref="D181:D182"/>
    <mergeCell ref="M181:M182"/>
    <mergeCell ref="B179:B180"/>
    <mergeCell ref="C179:C180"/>
    <mergeCell ref="D179:D180"/>
    <mergeCell ref="M179:M180"/>
    <mergeCell ref="B177:B178"/>
    <mergeCell ref="C177:C178"/>
    <mergeCell ref="D177:D178"/>
    <mergeCell ref="M177:M178"/>
    <mergeCell ref="B175:B176"/>
    <mergeCell ref="C175:C176"/>
    <mergeCell ref="D175:D176"/>
    <mergeCell ref="M175:M176"/>
    <mergeCell ref="B173:B174"/>
    <mergeCell ref="C173:C174"/>
    <mergeCell ref="D173:D174"/>
    <mergeCell ref="M173:M174"/>
    <mergeCell ref="M169:M170"/>
    <mergeCell ref="B171:B172"/>
    <mergeCell ref="C171:C172"/>
    <mergeCell ref="D171:D172"/>
    <mergeCell ref="M171:M172"/>
    <mergeCell ref="D166:D167"/>
    <mergeCell ref="B169:B170"/>
    <mergeCell ref="C169:C170"/>
    <mergeCell ref="D169:D170"/>
    <mergeCell ref="B153:B154"/>
    <mergeCell ref="C153:C154"/>
    <mergeCell ref="D153:D154"/>
    <mergeCell ref="M153:M154"/>
    <mergeCell ref="B151:B152"/>
    <mergeCell ref="C151:C152"/>
    <mergeCell ref="D151:D152"/>
    <mergeCell ref="M151:M152"/>
    <mergeCell ref="B149:B150"/>
    <mergeCell ref="C149:C150"/>
    <mergeCell ref="D149:D150"/>
    <mergeCell ref="M149:M150"/>
    <mergeCell ref="B147:B148"/>
    <mergeCell ref="C147:C148"/>
    <mergeCell ref="D147:D148"/>
    <mergeCell ref="M147:M148"/>
    <mergeCell ref="B145:B146"/>
    <mergeCell ref="C145:C146"/>
    <mergeCell ref="D145:D146"/>
    <mergeCell ref="M145:M146"/>
    <mergeCell ref="M141:M142"/>
    <mergeCell ref="B143:B144"/>
    <mergeCell ref="C143:C144"/>
    <mergeCell ref="D143:D144"/>
    <mergeCell ref="M143:M144"/>
    <mergeCell ref="D138:D139"/>
    <mergeCell ref="B141:B142"/>
    <mergeCell ref="C141:C142"/>
    <mergeCell ref="D141:D142"/>
    <mergeCell ref="B125:B126"/>
    <mergeCell ref="C125:C126"/>
    <mergeCell ref="D125:D126"/>
    <mergeCell ref="M125:M126"/>
    <mergeCell ref="B123:B124"/>
    <mergeCell ref="C123:C124"/>
    <mergeCell ref="D123:D124"/>
    <mergeCell ref="M123:M124"/>
    <mergeCell ref="B121:B122"/>
    <mergeCell ref="C121:C122"/>
    <mergeCell ref="D121:D122"/>
    <mergeCell ref="M121:M122"/>
    <mergeCell ref="B119:B120"/>
    <mergeCell ref="C119:C120"/>
    <mergeCell ref="D119:D120"/>
    <mergeCell ref="M119:M120"/>
    <mergeCell ref="B117:B118"/>
    <mergeCell ref="C117:C118"/>
    <mergeCell ref="D117:D118"/>
    <mergeCell ref="M117:M118"/>
    <mergeCell ref="M113:M114"/>
    <mergeCell ref="B115:B116"/>
    <mergeCell ref="C115:C116"/>
    <mergeCell ref="D115:D116"/>
    <mergeCell ref="M115:M116"/>
    <mergeCell ref="D110:D111"/>
    <mergeCell ref="B113:B114"/>
    <mergeCell ref="C113:C114"/>
    <mergeCell ref="D113:D114"/>
    <mergeCell ref="B97:B98"/>
    <mergeCell ref="C97:C98"/>
    <mergeCell ref="D97:D98"/>
    <mergeCell ref="M97:M98"/>
    <mergeCell ref="B95:B96"/>
    <mergeCell ref="C95:C96"/>
    <mergeCell ref="D95:D96"/>
    <mergeCell ref="M95:M96"/>
    <mergeCell ref="B93:B94"/>
    <mergeCell ref="C93:C94"/>
    <mergeCell ref="D93:D94"/>
    <mergeCell ref="M93:M94"/>
    <mergeCell ref="B91:B92"/>
    <mergeCell ref="C91:C92"/>
    <mergeCell ref="D91:D92"/>
    <mergeCell ref="M91:M92"/>
    <mergeCell ref="B89:B90"/>
    <mergeCell ref="C89:C90"/>
    <mergeCell ref="D89:D90"/>
    <mergeCell ref="M89:M90"/>
    <mergeCell ref="M85:M86"/>
    <mergeCell ref="B87:B88"/>
    <mergeCell ref="C87:C88"/>
    <mergeCell ref="D87:D88"/>
    <mergeCell ref="M87:M88"/>
    <mergeCell ref="D82:D83"/>
    <mergeCell ref="B85:B86"/>
    <mergeCell ref="C85:C86"/>
    <mergeCell ref="D85:D86"/>
    <mergeCell ref="B69:B70"/>
    <mergeCell ref="C69:C70"/>
    <mergeCell ref="D69:D70"/>
    <mergeCell ref="M69:M70"/>
    <mergeCell ref="B67:B68"/>
    <mergeCell ref="C67:C68"/>
    <mergeCell ref="D67:D68"/>
    <mergeCell ref="M67:M68"/>
    <mergeCell ref="B65:B66"/>
    <mergeCell ref="C65:C66"/>
    <mergeCell ref="D65:D66"/>
    <mergeCell ref="M65:M66"/>
    <mergeCell ref="B63:B64"/>
    <mergeCell ref="C63:C64"/>
    <mergeCell ref="D63:D64"/>
    <mergeCell ref="M63:M64"/>
    <mergeCell ref="B61:B62"/>
    <mergeCell ref="C61:C62"/>
    <mergeCell ref="D61:D62"/>
    <mergeCell ref="M61:M62"/>
    <mergeCell ref="M57:M58"/>
    <mergeCell ref="B59:B60"/>
    <mergeCell ref="C59:C60"/>
    <mergeCell ref="D59:D60"/>
    <mergeCell ref="M59:M60"/>
    <mergeCell ref="D54:D55"/>
    <mergeCell ref="B57:B58"/>
    <mergeCell ref="C57:C58"/>
    <mergeCell ref="D57:D58"/>
    <mergeCell ref="B41:B42"/>
    <mergeCell ref="C41:C42"/>
    <mergeCell ref="D41:D42"/>
    <mergeCell ref="M41:M42"/>
    <mergeCell ref="B39:B40"/>
    <mergeCell ref="C39:C40"/>
    <mergeCell ref="D39:D40"/>
    <mergeCell ref="M39:M40"/>
    <mergeCell ref="B37:B38"/>
    <mergeCell ref="C37:C38"/>
    <mergeCell ref="D37:D38"/>
    <mergeCell ref="M37:M38"/>
    <mergeCell ref="B35:B36"/>
    <mergeCell ref="C35:C36"/>
    <mergeCell ref="D35:D36"/>
    <mergeCell ref="M35:M36"/>
    <mergeCell ref="B33:B34"/>
    <mergeCell ref="C33:C34"/>
    <mergeCell ref="D33:D34"/>
    <mergeCell ref="M33:M34"/>
    <mergeCell ref="M29:M30"/>
    <mergeCell ref="B31:B32"/>
    <mergeCell ref="C31:C32"/>
    <mergeCell ref="D31:D32"/>
    <mergeCell ref="M31:M32"/>
    <mergeCell ref="D26:D27"/>
    <mergeCell ref="B29:B30"/>
    <mergeCell ref="C29:C30"/>
    <mergeCell ref="D29:D30"/>
    <mergeCell ref="D12:D13"/>
    <mergeCell ref="D14:D15"/>
    <mergeCell ref="D16:D17"/>
    <mergeCell ref="D18:D19"/>
    <mergeCell ref="D4:D5"/>
    <mergeCell ref="D6:D7"/>
    <mergeCell ref="D8:D9"/>
    <mergeCell ref="D10:D11"/>
  </mergeCells>
  <printOptions/>
  <pageMargins left="0.75" right="0.75" top="1" bottom="0.96" header="0.4921259845" footer="0.4921259845"/>
  <pageSetup fitToHeight="0" orientation="landscape" paperSize="9" scale="75" r:id="rId1"/>
  <rowBreaks count="4" manualBreakCount="4">
    <brk id="48" min="1" max="13" man="1"/>
    <brk id="76" min="1" max="13" man="1"/>
    <brk id="104" min="1" max="13" man="1"/>
    <brk id="132" min="1" max="13" man="1"/>
  </rowBreaks>
</worksheet>
</file>

<file path=xl/worksheets/sheet9.xml><?xml version="1.0" encoding="utf-8"?>
<worksheet xmlns="http://schemas.openxmlformats.org/spreadsheetml/2006/main" xmlns:r="http://schemas.openxmlformats.org/officeDocument/2006/relationships">
  <dimension ref="B2:I10"/>
  <sheetViews>
    <sheetView workbookViewId="0" topLeftCell="A1">
      <selection activeCell="A1" sqref="A1"/>
    </sheetView>
  </sheetViews>
  <sheetFormatPr defaultColWidth="11.421875" defaultRowHeight="12.75"/>
  <sheetData>
    <row r="2" spans="2:8" ht="15">
      <c r="B2" s="231">
        <v>113</v>
      </c>
      <c r="C2" s="231">
        <v>134</v>
      </c>
      <c r="D2" s="231">
        <v>206</v>
      </c>
      <c r="E2" s="231">
        <v>122</v>
      </c>
      <c r="F2" s="231">
        <v>144</v>
      </c>
      <c r="G2" s="231">
        <v>194</v>
      </c>
      <c r="H2">
        <f>SUM(B2:G2)</f>
        <v>913</v>
      </c>
    </row>
    <row r="3" ht="12.75">
      <c r="H3" s="15">
        <f>H2/6</f>
        <v>152.16666666666666</v>
      </c>
    </row>
    <row r="4" spans="2:7" ht="15">
      <c r="B4" s="219">
        <v>165</v>
      </c>
      <c r="C4" s="219">
        <v>179</v>
      </c>
      <c r="D4" s="219">
        <v>154</v>
      </c>
      <c r="E4" s="219">
        <v>178</v>
      </c>
      <c r="F4" s="220">
        <f>SUM(B4:E4)</f>
        <v>676</v>
      </c>
      <c r="G4" s="220"/>
    </row>
    <row r="5" spans="2:9" ht="12.75">
      <c r="B5" s="220"/>
      <c r="C5" s="220"/>
      <c r="D5" s="220"/>
      <c r="E5" s="220"/>
      <c r="F5" s="220">
        <f>F4/4</f>
        <v>169</v>
      </c>
      <c r="G5" s="220"/>
      <c r="I5" s="223">
        <f>200-H3</f>
        <v>47.83333333333334</v>
      </c>
    </row>
    <row r="6" spans="2:9" ht="12.75">
      <c r="B6" s="220"/>
      <c r="C6" s="220"/>
      <c r="D6" s="220"/>
      <c r="E6" s="220"/>
      <c r="F6" s="221"/>
      <c r="G6" s="220">
        <f>200-F5</f>
        <v>31</v>
      </c>
      <c r="I6" s="223">
        <f>I5/100*60</f>
        <v>28.700000000000006</v>
      </c>
    </row>
    <row r="7" spans="2:7" ht="12.75">
      <c r="B7" s="220"/>
      <c r="C7" s="220"/>
      <c r="D7" s="220"/>
      <c r="E7" s="220"/>
      <c r="F7" s="222"/>
      <c r="G7" s="222">
        <f>G6/100*60</f>
        <v>18.6</v>
      </c>
    </row>
    <row r="10" ht="12.75">
      <c r="G10" s="15"/>
    </row>
  </sheetData>
  <conditionalFormatting sqref="B4:E4 B2:G2">
    <cfRule type="cellIs" priority="1" dxfId="1" operator="greaterThanOrEqual" stopIfTrue="1">
      <formula>200</formula>
    </cfRule>
  </conditionalFormatting>
  <printOptions gridLines="1"/>
  <pageMargins left="0.75" right="0.75" top="1" bottom="1" header="0.511811023" footer="0.511811023"/>
  <pageSetup horizontalDpi="600" verticalDpi="600" orientation="portrait" paperSize="9"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Peter Kloten</dc:creator>
  <cp:keywords/>
  <dc:description/>
  <cp:lastModifiedBy>Jacqueline Zeberli</cp:lastModifiedBy>
  <cp:lastPrinted>2009-10-18T15:48:45Z</cp:lastPrinted>
  <dcterms:created xsi:type="dcterms:W3CDTF">1999-10-29T06:17:43Z</dcterms:created>
  <dcterms:modified xsi:type="dcterms:W3CDTF">2009-10-19T12:09:58Z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